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tabRatio="601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<sst xmlns="http://schemas.openxmlformats.org/spreadsheetml/2006/main" count="181" uniqueCount="81">
  <si>
    <t>sodra</t>
  </si>
  <si>
    <t>iš jų:</t>
  </si>
  <si>
    <t>elektra</t>
  </si>
  <si>
    <t>IŠ VISO</t>
  </si>
  <si>
    <t xml:space="preserve"> Siūloma skirti</t>
  </si>
  <si>
    <t>IŠ VISO:</t>
  </si>
  <si>
    <t>šildym.</t>
  </si>
  <si>
    <t>vand.</t>
  </si>
  <si>
    <t>L/d "Nykštukas"</t>
  </si>
  <si>
    <t>L/d "Pumpurėlis"</t>
  </si>
  <si>
    <t>Juodupės l/d</t>
  </si>
  <si>
    <t>M/d "Ąžuoliukas"</t>
  </si>
  <si>
    <t>Bendrabutis</t>
  </si>
  <si>
    <t>Juodupės gimnazija</t>
  </si>
  <si>
    <t>Kamajų A.Strazdo gimn.</t>
  </si>
  <si>
    <t>Kamajų Ikim.ugd. Sk.</t>
  </si>
  <si>
    <t>Obelių gimnazija</t>
  </si>
  <si>
    <t>Pandėlio gimnazija</t>
  </si>
  <si>
    <t>Muzikos mokykla</t>
  </si>
  <si>
    <t>Choreografijos mokykla</t>
  </si>
  <si>
    <t>Švietimo centras</t>
  </si>
  <si>
    <t>Pedagoginė psichologinė tarnyba</t>
  </si>
  <si>
    <t>VŠĮ Jaunimo centras</t>
  </si>
  <si>
    <t>2 programa</t>
  </si>
  <si>
    <t>3 programa</t>
  </si>
  <si>
    <t>Senamiesčio progimnazija</t>
  </si>
  <si>
    <t xml:space="preserve">darbo užmok. </t>
  </si>
  <si>
    <t>Įstaigos pavadinimas</t>
  </si>
  <si>
    <t>prekių ir pasl.naud.</t>
  </si>
  <si>
    <t>IŠ VISO IŠLAIDŲ</t>
  </si>
  <si>
    <t>L/d "Varpelis"</t>
  </si>
  <si>
    <t>Suaugusiųjų ir jaunimo mok.cent.</t>
  </si>
  <si>
    <t>J.Tumo Vaižganto gimnazija</t>
  </si>
  <si>
    <t>J. Tūbelio  progimnazija</t>
  </si>
  <si>
    <t>VŠĮ Jaunimo centras Žiobiškio sk.</t>
  </si>
  <si>
    <t>moksl.pavėž.</t>
  </si>
  <si>
    <t>Rokiškio pagrindinė mokykla</t>
  </si>
  <si>
    <t>Obelių l/d</t>
  </si>
  <si>
    <t>Jūžintų pagr.m-la</t>
  </si>
  <si>
    <t>šiukšl.</t>
  </si>
  <si>
    <t xml:space="preserve"> Siūloma skirti, t.sk.</t>
  </si>
  <si>
    <t>ŠVIETIMO ĮSTAIGŲ</t>
  </si>
  <si>
    <t>Juodupės neformal.šviet.sk.</t>
  </si>
  <si>
    <t>Kamajų neformal.šviet.sk.</t>
  </si>
  <si>
    <t>Obelių neformal.šviet.sk.</t>
  </si>
  <si>
    <t xml:space="preserve"> </t>
  </si>
  <si>
    <t xml:space="preserve"> Laibgalių ikimokyklinio  ir pradinio ugdymo sk.</t>
  </si>
  <si>
    <t>Kriaunų ikimokyklinio  ir pradinio ugdymo sk.</t>
  </si>
  <si>
    <t>Panemunėlio mokykla-daugiafunkcis centras</t>
  </si>
  <si>
    <t>Pandėlio universalus daugiafunkcis centras</t>
  </si>
  <si>
    <t>Kavoliškio m/d</t>
  </si>
  <si>
    <t>ilg.turt.įsigijimas</t>
  </si>
  <si>
    <t>darbo užmokestis ir sodra</t>
  </si>
  <si>
    <t xml:space="preserve"> 2019m. poreikis (sodra 1,77 proc.)</t>
  </si>
  <si>
    <t>SAVIVALDYBĖS BIUDŽETO LĖŠŲ PLANAS 2020 METAMS (Eurais)</t>
  </si>
  <si>
    <t>mitybos išlaidos  (01)</t>
  </si>
  <si>
    <t>medik. Ir medic.prekių  įsigij.išl. (02)</t>
  </si>
  <si>
    <t>ryšių įrangos ir ryšių paslaugų įsigijimo išl. (05)</t>
  </si>
  <si>
    <t>transporto išlaikymo ir transporto pasl.įsigij.išl. (06)</t>
  </si>
  <si>
    <t>aprangos  ir patalynės įsigij.bei priež.išl.  (07)</t>
  </si>
  <si>
    <t>komand.išl. (11)</t>
  </si>
  <si>
    <t>mater.ir nemater.turto nuomos išl. (14)</t>
  </si>
  <si>
    <t>material.turto paprastojo remonto prekių ir pasl.įsig.išl. (15)</t>
  </si>
  <si>
    <t>kvalifikac.kėlimo išl. (16)</t>
  </si>
  <si>
    <t>komun.pasl.įsig.išl. (20)</t>
  </si>
  <si>
    <t>informacinių technologijų prekių ir paslaugų įsigij.išl.  (21)</t>
  </si>
  <si>
    <t>reprezent.išl. (22)</t>
  </si>
  <si>
    <t>kitų prekių ir pasl.įsig.išl. (30)</t>
  </si>
  <si>
    <t xml:space="preserve"> 2019 patvirt.planas</t>
  </si>
  <si>
    <t xml:space="preserve"> 2020 m. poreikis</t>
  </si>
  <si>
    <t xml:space="preserve"> 2020m. poreikis</t>
  </si>
  <si>
    <t xml:space="preserve"> 2019 patvirt.planas </t>
  </si>
  <si>
    <t xml:space="preserve"> 2019 patvirt.planas, t.sk.</t>
  </si>
  <si>
    <t xml:space="preserve"> 2020m. poreikis, t.sk.</t>
  </si>
  <si>
    <t xml:space="preserve"> 2020m. poreikis, t.sk:</t>
  </si>
  <si>
    <t xml:space="preserve"> 2020m. poreikis (sodra 1,77 proc.)</t>
  </si>
  <si>
    <t xml:space="preserve">2 programa </t>
  </si>
  <si>
    <t xml:space="preserve">3 programa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</si>
  <si>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</si>
  <si>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2019 patvirt.planas (kartu su dotacija)</t>
  </si>
  <si>
    <t>01.24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</si>
</sst>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#,##0.0\ _L_t"/>
    <numFmt numFmtId="184" formatCode="[$-427]yyyy\ &quot;m.&quot;\ mmmm\ d\ &quot;d.&quot;"/>
    <numFmt numFmtId="185" formatCode="0.000000000"/>
    <numFmt numFmtId="186" formatCode="#,##0.0\ &quot;Lt&quot;"/>
    <numFmt numFmtId="187" formatCode="_-* #,##0.0\ &quot;Lt&quot;_-;\-* #,##0.0\ &quot;Lt&quot;_-;_-* &quot;-&quot;?\ &quot;Lt&quot;_-;_-@_-"/>
    <numFmt numFmtId="188" formatCode="#,##0.0\ &quot;Lt&quot;;\-#,##0.0\ &quot;Lt&quot;"/>
    <numFmt numFmtId="189" formatCode="#,##0.0\ _L_t;\-#,##0.0\ _L_t"/>
    <numFmt numFmtId="190" formatCode="0.0_ ;\-0.0\ "/>
    <numFmt numFmtId="191" formatCode="0.00000"/>
    <numFmt numFmtId="192" formatCode="#,##0.0000"/>
    <numFmt numFmtId="193" formatCode=";;;"/>
  </numFmts>
  <fonts count="44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1" fontId="4" fillId="34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4" fillId="34" borderId="12" xfId="0" applyNumberFormat="1" applyFont="1" applyFill="1" applyBorder="1" applyAlignment="1">
      <alignment/>
    </xf>
    <xf numFmtId="1" fontId="4" fillId="34" borderId="12" xfId="0" applyNumberFormat="1" applyFont="1" applyFill="1" applyBorder="1" applyAlignment="1">
      <alignment wrapText="1"/>
    </xf>
    <xf numFmtId="1" fontId="3" fillId="36" borderId="10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wrapText="1"/>
    </xf>
    <xf numFmtId="1" fontId="4" fillId="37" borderId="12" xfId="0" applyNumberFormat="1" applyFont="1" applyFill="1" applyBorder="1" applyAlignment="1">
      <alignment/>
    </xf>
    <xf numFmtId="1" fontId="3" fillId="36" borderId="12" xfId="0" applyNumberFormat="1" applyFont="1" applyFill="1" applyBorder="1" applyAlignment="1">
      <alignment/>
    </xf>
    <xf numFmtId="1" fontId="3" fillId="37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1" fontId="4" fillId="38" borderId="10" xfId="0" applyNumberFormat="1" applyFont="1" applyFill="1" applyBorder="1" applyAlignment="1">
      <alignment/>
    </xf>
    <xf numFmtId="1" fontId="9" fillId="0" borderId="10" xfId="0" applyNumberFormat="1" applyFont="1" applyBorder="1" applyAlignment="1">
      <alignment wrapText="1"/>
    </xf>
    <xf numFmtId="1" fontId="3" fillId="0" borderId="10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9" fillId="0" borderId="10" xfId="0" applyNumberFormat="1" applyFont="1" applyBorder="1" applyAlignment="1">
      <alignment/>
    </xf>
    <xf numFmtId="1" fontId="3" fillId="37" borderId="12" xfId="0" applyNumberFormat="1" applyFont="1" applyFill="1" applyBorder="1" applyAlignment="1">
      <alignment/>
    </xf>
    <xf numFmtId="0" fontId="2" fillId="36" borderId="11" xfId="0" applyFont="1" applyFill="1" applyBorder="1" applyAlignment="1">
      <alignment vertical="top" wrapText="1"/>
    </xf>
    <xf numFmtId="0" fontId="3" fillId="36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1" fontId="3" fillId="39" borderId="12" xfId="0" applyNumberFormat="1" applyFont="1" applyFill="1" applyBorder="1" applyAlignment="1">
      <alignment/>
    </xf>
    <xf numFmtId="1" fontId="3" fillId="39" borderId="10" xfId="0" applyNumberFormat="1" applyFont="1" applyFill="1" applyBorder="1" applyAlignment="1">
      <alignment/>
    </xf>
    <xf numFmtId="1" fontId="5" fillId="39" borderId="10" xfId="0" applyNumberFormat="1" applyFont="1" applyFill="1" applyBorder="1" applyAlignment="1">
      <alignment/>
    </xf>
    <xf numFmtId="1" fontId="6" fillId="39" borderId="10" xfId="0" applyNumberFormat="1" applyFont="1" applyFill="1" applyBorder="1" applyAlignment="1">
      <alignment/>
    </xf>
    <xf numFmtId="0" fontId="0" fillId="39" borderId="15" xfId="0" applyNumberFormat="1" applyFill="1" applyBorder="1" applyAlignment="1">
      <alignment/>
    </xf>
    <xf numFmtId="1" fontId="3" fillId="39" borderId="12" xfId="0" applyNumberFormat="1" applyFont="1" applyFill="1" applyBorder="1" applyAlignment="1">
      <alignment wrapText="1"/>
    </xf>
    <xf numFmtId="1" fontId="4" fillId="39" borderId="10" xfId="0" applyNumberFormat="1" applyFont="1" applyFill="1" applyBorder="1" applyAlignment="1">
      <alignment/>
    </xf>
    <xf numFmtId="0" fontId="2" fillId="16" borderId="14" xfId="0" applyFont="1" applyFill="1" applyBorder="1" applyAlignment="1">
      <alignment horizontal="center"/>
    </xf>
    <xf numFmtId="1" fontId="3" fillId="16" borderId="12" xfId="0" applyNumberFormat="1" applyFont="1" applyFill="1" applyBorder="1" applyAlignment="1">
      <alignment/>
    </xf>
    <xf numFmtId="1" fontId="3" fillId="16" borderId="10" xfId="0" applyNumberFormat="1" applyFont="1" applyFill="1" applyBorder="1" applyAlignment="1">
      <alignment/>
    </xf>
    <xf numFmtId="1" fontId="4" fillId="16" borderId="10" xfId="0" applyNumberFormat="1" applyFont="1" applyFill="1" applyBorder="1" applyAlignment="1">
      <alignment/>
    </xf>
    <xf numFmtId="0" fontId="2" fillId="19" borderId="14" xfId="0" applyFont="1" applyFill="1" applyBorder="1" applyAlignment="1">
      <alignment horizontal="center"/>
    </xf>
    <xf numFmtId="1" fontId="3" fillId="19" borderId="12" xfId="0" applyNumberFormat="1" applyFont="1" applyFill="1" applyBorder="1" applyAlignment="1">
      <alignment/>
    </xf>
    <xf numFmtId="1" fontId="3" fillId="19" borderId="10" xfId="0" applyNumberFormat="1" applyFont="1" applyFill="1" applyBorder="1" applyAlignment="1">
      <alignment/>
    </xf>
    <xf numFmtId="1" fontId="4" fillId="19" borderId="10" xfId="0" applyNumberFormat="1" applyFont="1" applyFill="1" applyBorder="1" applyAlignment="1">
      <alignment/>
    </xf>
    <xf numFmtId="0" fontId="2" fillId="9" borderId="14" xfId="0" applyFont="1" applyFill="1" applyBorder="1" applyAlignment="1">
      <alignment horizontal="center"/>
    </xf>
    <xf numFmtId="1" fontId="3" fillId="9" borderId="12" xfId="0" applyNumberFormat="1" applyFont="1" applyFill="1" applyBorder="1" applyAlignment="1">
      <alignment/>
    </xf>
    <xf numFmtId="1" fontId="3" fillId="9" borderId="10" xfId="0" applyNumberFormat="1" applyFont="1" applyFill="1" applyBorder="1" applyAlignment="1">
      <alignment/>
    </xf>
    <xf numFmtId="1" fontId="3" fillId="9" borderId="12" xfId="0" applyNumberFormat="1" applyFont="1" applyFill="1" applyBorder="1" applyAlignment="1">
      <alignment wrapText="1"/>
    </xf>
    <xf numFmtId="1" fontId="4" fillId="9" borderId="10" xfId="0" applyNumberFormat="1" applyFont="1" applyFill="1" applyBorder="1" applyAlignment="1">
      <alignment/>
    </xf>
    <xf numFmtId="0" fontId="2" fillId="17" borderId="16" xfId="0" applyFont="1" applyFill="1" applyBorder="1" applyAlignment="1">
      <alignment horizontal="center"/>
    </xf>
    <xf numFmtId="1" fontId="3" fillId="17" borderId="12" xfId="0" applyNumberFormat="1" applyFont="1" applyFill="1" applyBorder="1" applyAlignment="1">
      <alignment/>
    </xf>
    <xf numFmtId="1" fontId="3" fillId="17" borderId="10" xfId="0" applyNumberFormat="1" applyFont="1" applyFill="1" applyBorder="1" applyAlignment="1">
      <alignment/>
    </xf>
    <xf numFmtId="1" fontId="3" fillId="17" borderId="12" xfId="0" applyNumberFormat="1" applyFont="1" applyFill="1" applyBorder="1" applyAlignment="1">
      <alignment wrapText="1"/>
    </xf>
    <xf numFmtId="1" fontId="4" fillId="17" borderId="10" xfId="0" applyNumberFormat="1" applyFont="1" applyFill="1" applyBorder="1" applyAlignment="1">
      <alignment/>
    </xf>
    <xf numFmtId="0" fontId="4" fillId="34" borderId="17" xfId="0" applyNumberFormat="1" applyFont="1" applyFill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39" borderId="20" xfId="0" applyFont="1" applyFill="1" applyBorder="1" applyAlignment="1">
      <alignment vertical="top" wrapText="1"/>
    </xf>
    <xf numFmtId="0" fontId="0" fillId="39" borderId="21" xfId="0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36" borderId="20" xfId="0" applyFont="1" applyFill="1" applyBorder="1" applyAlignment="1">
      <alignment vertical="top" wrapText="1"/>
    </xf>
    <xf numFmtId="0" fontId="2" fillId="36" borderId="21" xfId="0" applyFont="1" applyFill="1" applyBorder="1" applyAlignment="1">
      <alignment vertical="top" wrapText="1"/>
    </xf>
    <xf numFmtId="0" fontId="2" fillId="16" borderId="20" xfId="0" applyFont="1" applyFill="1" applyBorder="1" applyAlignment="1">
      <alignment vertical="top" wrapText="1"/>
    </xf>
    <xf numFmtId="0" fontId="2" fillId="16" borderId="21" xfId="0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34" borderId="20" xfId="0" applyFont="1" applyFill="1" applyBorder="1" applyAlignment="1">
      <alignment vertical="top" wrapText="1"/>
    </xf>
    <xf numFmtId="0" fontId="2" fillId="34" borderId="21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17" borderId="11" xfId="0" applyFont="1" applyFill="1" applyBorder="1" applyAlignment="1">
      <alignment vertical="top"/>
    </xf>
    <xf numFmtId="0" fontId="2" fillId="17" borderId="21" xfId="0" applyFont="1" applyFill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19" borderId="20" xfId="0" applyFont="1" applyFill="1" applyBorder="1" applyAlignment="1">
      <alignment vertical="top" wrapText="1"/>
    </xf>
    <xf numFmtId="0" fontId="2" fillId="19" borderId="21" xfId="0" applyFont="1" applyFill="1" applyBorder="1" applyAlignment="1">
      <alignment vertical="top" wrapText="1"/>
    </xf>
    <xf numFmtId="0" fontId="2" fillId="9" borderId="20" xfId="0" applyFont="1" applyFill="1" applyBorder="1" applyAlignment="1">
      <alignment vertical="top" wrapText="1"/>
    </xf>
    <xf numFmtId="0" fontId="2" fillId="9" borderId="21" xfId="0" applyFont="1" applyFill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dxfs count="5">
    <dxf/>
    <dxf/>
    <dxf/>
    <dxf/>
    <dxf>
      <numFmt numFmtId="193" formatCode=";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20"/>
  <sheetViews>
    <sheetView tabSelected="1" zoomScale="120" zoomScaleNormal="120" zoomScalePageLayoutView="0" workbookViewId="0" topLeftCell="A1">
      <pane xSplit="5" ySplit="7" topLeftCell="F11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125" sqref="L125"/>
    </sheetView>
  </sheetViews>
  <sheetFormatPr defaultColWidth="9.140625" defaultRowHeight="12.75"/>
  <cols>
    <col min="1" max="1" width="27.28125" style="0" customWidth="1"/>
    <col min="2" max="2" width="8.7109375" style="0" customWidth="1"/>
    <col min="3" max="4" width="7.7109375" style="0" customWidth="1"/>
    <col min="5" max="5" width="8.57421875" style="0" customWidth="1"/>
    <col min="6" max="6" width="6.00390625" style="0" customWidth="1"/>
    <col min="7" max="7" width="4.421875" style="0" customWidth="1"/>
    <col min="8" max="9" width="6.00390625" style="0" customWidth="1"/>
    <col min="10" max="10" width="6.28125" style="0" customWidth="1"/>
    <col min="11" max="11" width="5.7109375" style="0" customWidth="1"/>
    <col min="12" max="12" width="4.57421875" style="0" customWidth="1"/>
    <col min="13" max="13" width="7.140625" style="0" customWidth="1"/>
    <col min="14" max="14" width="5.57421875" style="0" customWidth="1"/>
    <col min="15" max="15" width="3.00390625" style="0" customWidth="1"/>
    <col min="16" max="16" width="7.7109375" style="0" customWidth="1"/>
    <col min="17" max="17" width="6.7109375" style="0" customWidth="1"/>
    <col min="18" max="18" width="6.8515625" style="0" customWidth="1"/>
    <col min="19" max="20" width="5.7109375" style="0" customWidth="1"/>
    <col min="21" max="21" width="6.00390625" style="0" customWidth="1"/>
    <col min="22" max="22" width="6.28125" style="0" customWidth="1"/>
    <col min="23" max="23" width="7.140625" style="0" customWidth="1"/>
    <col min="24" max="24" width="6.8515625" style="0" customWidth="1"/>
    <col min="25" max="25" width="7.28125" style="0" customWidth="1"/>
    <col min="26" max="26" width="2.421875" style="0" customWidth="1"/>
    <col min="27" max="27" width="6.57421875" style="0" customWidth="1"/>
    <col min="28" max="28" width="8.00390625" style="0" customWidth="1"/>
  </cols>
  <sheetData>
    <row r="1" spans="5:25" ht="15.75" customHeight="1">
      <c r="E1" s="3"/>
      <c r="F1" s="3"/>
      <c r="G1" s="76" t="s">
        <v>41</v>
      </c>
      <c r="H1" s="77"/>
      <c r="I1" s="77"/>
      <c r="J1" s="77"/>
      <c r="K1" s="77"/>
      <c r="L1" s="77"/>
      <c r="Y1" s="4"/>
    </row>
    <row r="2" spans="1:31" ht="14.25" customHeight="1">
      <c r="A2" s="28"/>
      <c r="B2" s="87" t="s">
        <v>54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27"/>
      <c r="W2" s="27"/>
      <c r="X2" s="27" t="s">
        <v>80</v>
      </c>
      <c r="Y2" s="27"/>
      <c r="Z2" s="27"/>
      <c r="AA2" s="27"/>
      <c r="AB2" s="27"/>
      <c r="AC2" s="27"/>
      <c r="AD2" s="27"/>
      <c r="AE2" s="27"/>
    </row>
    <row r="3" spans="1:31" ht="14.25" customHeight="1">
      <c r="A3" s="28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9:25" ht="13.5" thickBot="1">
      <c r="S4" s="25"/>
      <c r="T4" s="25"/>
      <c r="U4" s="25"/>
      <c r="V4" s="25"/>
      <c r="W4" s="25"/>
      <c r="X4" s="25"/>
      <c r="Y4" s="25"/>
    </row>
    <row r="5" spans="1:28" ht="12" customHeight="1">
      <c r="A5" s="78" t="s">
        <v>27</v>
      </c>
      <c r="B5" s="80" t="s">
        <v>26</v>
      </c>
      <c r="C5" s="80" t="s">
        <v>0</v>
      </c>
      <c r="D5" s="74" t="s">
        <v>52</v>
      </c>
      <c r="E5" s="82" t="s">
        <v>28</v>
      </c>
      <c r="F5" s="84" t="s">
        <v>1</v>
      </c>
      <c r="G5" s="85"/>
      <c r="H5" s="85"/>
      <c r="I5" s="85"/>
      <c r="J5" s="85"/>
      <c r="K5" s="85"/>
      <c r="L5" s="85"/>
      <c r="M5" s="85"/>
      <c r="N5" s="85"/>
      <c r="O5" s="86"/>
      <c r="P5" s="92" t="s">
        <v>64</v>
      </c>
      <c r="Q5" s="89"/>
      <c r="R5" s="90"/>
      <c r="S5" s="90"/>
      <c r="T5" s="91"/>
      <c r="U5" s="94" t="s">
        <v>65</v>
      </c>
      <c r="V5" s="94" t="s">
        <v>66</v>
      </c>
      <c r="W5" s="94" t="s">
        <v>67</v>
      </c>
      <c r="X5" s="102" t="s">
        <v>35</v>
      </c>
      <c r="Y5" s="100" t="s">
        <v>29</v>
      </c>
      <c r="Z5" s="104"/>
      <c r="AA5" s="98" t="s">
        <v>51</v>
      </c>
      <c r="AB5" s="96" t="s">
        <v>3</v>
      </c>
    </row>
    <row r="6" spans="1:29" ht="100.5" customHeight="1" thickBot="1">
      <c r="A6" s="79"/>
      <c r="B6" s="81"/>
      <c r="C6" s="81"/>
      <c r="D6" s="75"/>
      <c r="E6" s="83"/>
      <c r="F6" s="7" t="s">
        <v>55</v>
      </c>
      <c r="G6" s="7" t="s">
        <v>56</v>
      </c>
      <c r="H6" s="7" t="s">
        <v>57</v>
      </c>
      <c r="I6" s="7" t="s">
        <v>58</v>
      </c>
      <c r="J6" s="7" t="s">
        <v>59</v>
      </c>
      <c r="K6" s="7" t="s">
        <v>60</v>
      </c>
      <c r="L6" s="7" t="s">
        <v>61</v>
      </c>
      <c r="M6" s="38" t="s">
        <v>62</v>
      </c>
      <c r="N6" s="7" t="s">
        <v>63</v>
      </c>
      <c r="O6" s="7"/>
      <c r="P6" s="93"/>
      <c r="Q6" s="6" t="s">
        <v>6</v>
      </c>
      <c r="R6" s="6" t="s">
        <v>2</v>
      </c>
      <c r="S6" s="6" t="s">
        <v>7</v>
      </c>
      <c r="T6" s="7" t="s">
        <v>39</v>
      </c>
      <c r="U6" s="95"/>
      <c r="V6" s="95"/>
      <c r="W6" s="95"/>
      <c r="X6" s="103"/>
      <c r="Y6" s="101"/>
      <c r="Z6" s="105"/>
      <c r="AA6" s="99"/>
      <c r="AB6" s="97"/>
      <c r="AC6" s="4"/>
    </row>
    <row r="7" spans="1:29" s="3" customFormat="1" ht="13.5" thickBot="1">
      <c r="A7" s="43">
        <v>1</v>
      </c>
      <c r="B7" s="44">
        <v>2</v>
      </c>
      <c r="C7" s="44">
        <v>3</v>
      </c>
      <c r="D7" s="45">
        <v>4</v>
      </c>
      <c r="E7" s="53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/>
      <c r="P7" s="44">
        <v>15</v>
      </c>
      <c r="Q7" s="44">
        <v>16</v>
      </c>
      <c r="R7" s="44">
        <v>17</v>
      </c>
      <c r="S7" s="44">
        <v>18</v>
      </c>
      <c r="T7" s="44">
        <v>19</v>
      </c>
      <c r="U7" s="44">
        <v>20</v>
      </c>
      <c r="V7" s="44">
        <v>21</v>
      </c>
      <c r="W7" s="44">
        <v>22</v>
      </c>
      <c r="X7" s="61">
        <v>23</v>
      </c>
      <c r="Y7" s="57">
        <v>24</v>
      </c>
      <c r="Z7" s="44"/>
      <c r="AA7" s="44">
        <v>25</v>
      </c>
      <c r="AB7" s="66">
        <v>26</v>
      </c>
      <c r="AC7"/>
    </row>
    <row r="8" spans="1:29" ht="12.75">
      <c r="A8" s="18" t="s">
        <v>8</v>
      </c>
      <c r="B8" s="11"/>
      <c r="C8" s="11"/>
      <c r="D8" s="46"/>
      <c r="E8" s="54">
        <f>F8+G8+H8+I8+J8+K8+L8+M8+N8+O8+P8+U8+V8+W8</f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62"/>
      <c r="Y8" s="58">
        <f aca="true" t="shared" si="0" ref="Y8:Y71">D8+E8+X8</f>
        <v>0</v>
      </c>
      <c r="Z8" s="11"/>
      <c r="AA8" s="11"/>
      <c r="AB8" s="67"/>
      <c r="AC8">
        <v>1</v>
      </c>
    </row>
    <row r="9" spans="1:28" ht="12.75">
      <c r="A9" s="10" t="s">
        <v>68</v>
      </c>
      <c r="B9" s="9">
        <v>215137</v>
      </c>
      <c r="C9" s="9">
        <v>3119</v>
      </c>
      <c r="D9" s="47">
        <f>B9+C9</f>
        <v>218256</v>
      </c>
      <c r="E9" s="55">
        <f aca="true" t="shared" si="1" ref="E9:E72">F9+G9+H9+I9+J9+K9+L9+M9+N9+O9+P9+U9+V9+W9</f>
        <v>26483</v>
      </c>
      <c r="F9" s="9">
        <v>6866</v>
      </c>
      <c r="G9" s="9"/>
      <c r="H9" s="9">
        <v>220</v>
      </c>
      <c r="I9" s="9"/>
      <c r="J9" s="9"/>
      <c r="K9" s="9"/>
      <c r="L9" s="9"/>
      <c r="M9" s="9"/>
      <c r="N9" s="9"/>
      <c r="O9" s="9"/>
      <c r="P9" s="9">
        <f>Q9+R9+S9+T9</f>
        <v>15332</v>
      </c>
      <c r="Q9" s="9">
        <v>10707</v>
      </c>
      <c r="R9" s="9">
        <v>2789</v>
      </c>
      <c r="S9" s="9">
        <v>1584</v>
      </c>
      <c r="T9" s="9">
        <v>252</v>
      </c>
      <c r="U9" s="9">
        <v>600</v>
      </c>
      <c r="V9" s="9"/>
      <c r="W9" s="9">
        <v>3465</v>
      </c>
      <c r="X9" s="63"/>
      <c r="Y9" s="58">
        <f t="shared" si="0"/>
        <v>244739</v>
      </c>
      <c r="Z9" s="11"/>
      <c r="AA9" s="9"/>
      <c r="AB9" s="68">
        <f>Y9+AA9</f>
        <v>244739</v>
      </c>
    </row>
    <row r="10" spans="1:28" ht="12.75">
      <c r="A10" s="10" t="s">
        <v>69</v>
      </c>
      <c r="B10" s="9">
        <v>260570</v>
      </c>
      <c r="C10" s="9">
        <v>3778</v>
      </c>
      <c r="D10" s="47">
        <f>B10+C10</f>
        <v>264348</v>
      </c>
      <c r="E10" s="55">
        <f t="shared" si="1"/>
        <v>28609</v>
      </c>
      <c r="F10" s="9">
        <v>7000</v>
      </c>
      <c r="G10" s="9"/>
      <c r="H10" s="9">
        <v>367</v>
      </c>
      <c r="I10" s="9"/>
      <c r="J10" s="9"/>
      <c r="K10" s="9"/>
      <c r="L10" s="9"/>
      <c r="M10" s="9"/>
      <c r="N10" s="9"/>
      <c r="O10" s="9"/>
      <c r="P10" s="9">
        <f>Q10+R10+S10+T10</f>
        <v>15642</v>
      </c>
      <c r="Q10" s="9">
        <v>10588</v>
      </c>
      <c r="R10" s="9">
        <v>3135</v>
      </c>
      <c r="S10" s="9">
        <v>1599</v>
      </c>
      <c r="T10" s="9">
        <v>320</v>
      </c>
      <c r="U10" s="9">
        <v>600</v>
      </c>
      <c r="V10" s="9"/>
      <c r="W10" s="9">
        <v>5000</v>
      </c>
      <c r="X10" s="63"/>
      <c r="Y10" s="58">
        <f t="shared" si="0"/>
        <v>292957</v>
      </c>
      <c r="Z10" s="11"/>
      <c r="AA10" s="9"/>
      <c r="AB10" s="68">
        <f>Y10+AA10</f>
        <v>292957</v>
      </c>
    </row>
    <row r="11" spans="1:28" ht="10.5" customHeight="1">
      <c r="A11" s="10"/>
      <c r="B11" s="9"/>
      <c r="C11" s="9"/>
      <c r="D11" s="47"/>
      <c r="E11" s="55">
        <f t="shared" si="1"/>
        <v>0</v>
      </c>
      <c r="F11" s="9"/>
      <c r="G11" s="9">
        <v>0</v>
      </c>
      <c r="H11" s="9"/>
      <c r="I11" s="9">
        <v>0</v>
      </c>
      <c r="J11" s="9">
        <v>0</v>
      </c>
      <c r="K11" s="9">
        <v>0</v>
      </c>
      <c r="L11" s="9"/>
      <c r="M11" s="9">
        <v>0</v>
      </c>
      <c r="N11" s="9">
        <v>0</v>
      </c>
      <c r="O11" s="9">
        <v>0</v>
      </c>
      <c r="P11" s="9">
        <f>Q11+R11+S11+T11</f>
        <v>0</v>
      </c>
      <c r="Q11" s="9"/>
      <c r="R11" s="9"/>
      <c r="S11" s="9"/>
      <c r="T11" s="9"/>
      <c r="U11" s="9"/>
      <c r="V11" s="9"/>
      <c r="W11" s="9"/>
      <c r="X11" s="63"/>
      <c r="Y11" s="58">
        <f t="shared" si="0"/>
        <v>0</v>
      </c>
      <c r="Z11" s="11"/>
      <c r="AA11" s="9"/>
      <c r="AB11" s="68">
        <f>Y11+AA11</f>
        <v>0</v>
      </c>
    </row>
    <row r="12" spans="1:28" ht="12.75">
      <c r="A12" s="10" t="s">
        <v>4</v>
      </c>
      <c r="B12" s="9">
        <f>ROUND((B10*97)/100,0)+5285+4929</f>
        <v>262967</v>
      </c>
      <c r="C12" s="9">
        <f>ROUND((B12*1.45)/100,0)</f>
        <v>3813</v>
      </c>
      <c r="D12" s="47">
        <f>B12+C12</f>
        <v>266780</v>
      </c>
      <c r="E12" s="55">
        <f t="shared" si="1"/>
        <v>26764</v>
      </c>
      <c r="F12" s="9">
        <v>7000</v>
      </c>
      <c r="G12" s="9">
        <f>G9</f>
        <v>0</v>
      </c>
      <c r="H12" s="9">
        <v>367</v>
      </c>
      <c r="I12" s="9">
        <f aca="true" t="shared" si="2" ref="I12:N12">I9</f>
        <v>0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>
        <f t="shared" si="2"/>
        <v>0</v>
      </c>
      <c r="N12" s="9">
        <f t="shared" si="2"/>
        <v>0</v>
      </c>
      <c r="O12" s="9">
        <f>O9</f>
        <v>0</v>
      </c>
      <c r="P12" s="9">
        <f>SUM(Q12:T12)</f>
        <v>15332</v>
      </c>
      <c r="Q12" s="9">
        <f aca="true" t="shared" si="3" ref="Q12:W12">+Q9</f>
        <v>10707</v>
      </c>
      <c r="R12" s="9">
        <f t="shared" si="3"/>
        <v>2789</v>
      </c>
      <c r="S12" s="9">
        <f t="shared" si="3"/>
        <v>1584</v>
      </c>
      <c r="T12" s="9">
        <f t="shared" si="3"/>
        <v>252</v>
      </c>
      <c r="U12" s="9">
        <f t="shared" si="3"/>
        <v>600</v>
      </c>
      <c r="V12" s="9">
        <f t="shared" si="3"/>
        <v>0</v>
      </c>
      <c r="W12" s="9">
        <f t="shared" si="3"/>
        <v>3465</v>
      </c>
      <c r="X12" s="63">
        <f>X9</f>
        <v>0</v>
      </c>
      <c r="Y12" s="58">
        <f t="shared" si="0"/>
        <v>293544</v>
      </c>
      <c r="Z12" s="11"/>
      <c r="AA12" s="9"/>
      <c r="AB12" s="68">
        <f>Y12+AA12</f>
        <v>293544</v>
      </c>
    </row>
    <row r="13" spans="1:28" ht="11.25" customHeight="1">
      <c r="A13" s="9"/>
      <c r="B13" s="9"/>
      <c r="C13" s="9"/>
      <c r="D13" s="47"/>
      <c r="E13" s="55">
        <f t="shared" si="1"/>
        <v>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63"/>
      <c r="Y13" s="58">
        <f t="shared" si="0"/>
        <v>0</v>
      </c>
      <c r="Z13" s="9"/>
      <c r="AA13" s="9"/>
      <c r="AB13" s="68"/>
    </row>
    <row r="14" spans="1:29" ht="12.75">
      <c r="A14" s="8" t="s">
        <v>9</v>
      </c>
      <c r="B14" s="9"/>
      <c r="C14" s="9"/>
      <c r="D14" s="47"/>
      <c r="E14" s="55">
        <f t="shared" si="1"/>
        <v>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63"/>
      <c r="Y14" s="58">
        <f t="shared" si="0"/>
        <v>0</v>
      </c>
      <c r="Z14" s="9"/>
      <c r="AA14" s="9"/>
      <c r="AB14" s="68"/>
      <c r="AC14">
        <v>2</v>
      </c>
    </row>
    <row r="15" spans="1:28" ht="12.75">
      <c r="A15" s="10" t="s">
        <v>68</v>
      </c>
      <c r="B15" s="9">
        <v>389805</v>
      </c>
      <c r="C15" s="9">
        <v>5652</v>
      </c>
      <c r="D15" s="47">
        <f>B15+C15</f>
        <v>395457</v>
      </c>
      <c r="E15" s="55">
        <f t="shared" si="1"/>
        <v>44589</v>
      </c>
      <c r="F15" s="9">
        <v>12312</v>
      </c>
      <c r="G15" s="9"/>
      <c r="H15" s="9">
        <v>300</v>
      </c>
      <c r="I15" s="9"/>
      <c r="J15" s="9"/>
      <c r="K15" s="9"/>
      <c r="L15" s="9"/>
      <c r="M15" s="9"/>
      <c r="N15" s="9"/>
      <c r="O15" s="9"/>
      <c r="P15" s="9">
        <f>Q15+R15+S15+T15</f>
        <v>27222</v>
      </c>
      <c r="Q15" s="9">
        <v>19312</v>
      </c>
      <c r="R15" s="9">
        <v>4515</v>
      </c>
      <c r="S15" s="9">
        <v>2385</v>
      </c>
      <c r="T15" s="9">
        <v>1010</v>
      </c>
      <c r="U15" s="9"/>
      <c r="V15" s="9"/>
      <c r="W15" s="9">
        <v>4755</v>
      </c>
      <c r="X15" s="63"/>
      <c r="Y15" s="58">
        <f t="shared" si="0"/>
        <v>440046</v>
      </c>
      <c r="Z15" s="9"/>
      <c r="AA15" s="9"/>
      <c r="AB15" s="68">
        <f>Y15+AA15</f>
        <v>440046</v>
      </c>
    </row>
    <row r="16" spans="1:28" ht="12.75">
      <c r="A16" s="10" t="s">
        <v>69</v>
      </c>
      <c r="B16" s="9">
        <v>418266</v>
      </c>
      <c r="C16" s="9">
        <v>6065</v>
      </c>
      <c r="D16" s="47">
        <f>B16+C16</f>
        <v>424331</v>
      </c>
      <c r="E16" s="55">
        <f t="shared" si="1"/>
        <v>72169</v>
      </c>
      <c r="F16" s="9">
        <v>17312</v>
      </c>
      <c r="G16" s="9"/>
      <c r="H16" s="9">
        <v>615</v>
      </c>
      <c r="I16" s="9"/>
      <c r="J16" s="9"/>
      <c r="K16" s="9"/>
      <c r="L16" s="9"/>
      <c r="M16" s="9">
        <v>3000</v>
      </c>
      <c r="N16" s="9"/>
      <c r="O16" s="9"/>
      <c r="P16" s="9">
        <f>Q16+R16+S16+T16</f>
        <v>31810</v>
      </c>
      <c r="Q16" s="9">
        <v>22118</v>
      </c>
      <c r="R16" s="9">
        <v>5367</v>
      </c>
      <c r="S16" s="9">
        <v>2925</v>
      </c>
      <c r="T16" s="9">
        <v>1400</v>
      </c>
      <c r="U16" s="9">
        <v>722</v>
      </c>
      <c r="V16" s="9"/>
      <c r="W16" s="9">
        <v>18710</v>
      </c>
      <c r="X16" s="63"/>
      <c r="Y16" s="58">
        <f t="shared" si="0"/>
        <v>496500</v>
      </c>
      <c r="Z16" s="9"/>
      <c r="AA16" s="9"/>
      <c r="AB16" s="68">
        <f>Y16+AA16</f>
        <v>496500</v>
      </c>
    </row>
    <row r="17" spans="1:28" ht="10.5" customHeight="1">
      <c r="A17" s="10"/>
      <c r="B17" s="9">
        <v>0</v>
      </c>
      <c r="C17" s="9">
        <v>0</v>
      </c>
      <c r="D17" s="47"/>
      <c r="E17" s="55">
        <f t="shared" si="1"/>
        <v>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>Q17+R17+S17+T17</f>
        <v>0</v>
      </c>
      <c r="Q17" s="9"/>
      <c r="R17" s="9"/>
      <c r="S17" s="9"/>
      <c r="T17" s="9"/>
      <c r="U17" s="9"/>
      <c r="V17" s="9"/>
      <c r="W17" s="9"/>
      <c r="X17" s="63"/>
      <c r="Y17" s="58">
        <f t="shared" si="0"/>
        <v>0</v>
      </c>
      <c r="Z17" s="9"/>
      <c r="AA17" s="9"/>
      <c r="AB17" s="68">
        <f>Y17+AA17</f>
        <v>0</v>
      </c>
    </row>
    <row r="18" spans="1:28" ht="12.75">
      <c r="A18" s="10" t="s">
        <v>4</v>
      </c>
      <c r="B18" s="9">
        <f>ROUND((B16*97)/100,0)+9292+7886</f>
        <v>422896</v>
      </c>
      <c r="C18" s="9">
        <f>ROUND((B18*1.45)/100,0)</f>
        <v>6132</v>
      </c>
      <c r="D18" s="47">
        <f>B18+C18</f>
        <v>429028</v>
      </c>
      <c r="E18" s="55">
        <f t="shared" si="1"/>
        <v>49904</v>
      </c>
      <c r="F18" s="9">
        <v>17312</v>
      </c>
      <c r="G18" s="9"/>
      <c r="H18" s="9">
        <v>615</v>
      </c>
      <c r="I18" s="9">
        <f>I16</f>
        <v>0</v>
      </c>
      <c r="J18" s="9">
        <f aca="true" t="shared" si="4" ref="J18:O18">J15</f>
        <v>0</v>
      </c>
      <c r="K18" s="9">
        <f t="shared" si="4"/>
        <v>0</v>
      </c>
      <c r="L18" s="9"/>
      <c r="M18" s="9">
        <f t="shared" si="4"/>
        <v>0</v>
      </c>
      <c r="N18" s="9">
        <f t="shared" si="4"/>
        <v>0</v>
      </c>
      <c r="O18" s="9">
        <f t="shared" si="4"/>
        <v>0</v>
      </c>
      <c r="P18" s="9">
        <f>SUM(Q18:T18)</f>
        <v>27222</v>
      </c>
      <c r="Q18" s="9">
        <f aca="true" t="shared" si="5" ref="Q18:W18">+Q15</f>
        <v>19312</v>
      </c>
      <c r="R18" s="9">
        <f t="shared" si="5"/>
        <v>4515</v>
      </c>
      <c r="S18" s="9">
        <f t="shared" si="5"/>
        <v>2385</v>
      </c>
      <c r="T18" s="9">
        <f t="shared" si="5"/>
        <v>1010</v>
      </c>
      <c r="U18" s="9">
        <f t="shared" si="5"/>
        <v>0</v>
      </c>
      <c r="V18" s="9">
        <f t="shared" si="5"/>
        <v>0</v>
      </c>
      <c r="W18" s="9">
        <f t="shared" si="5"/>
        <v>4755</v>
      </c>
      <c r="X18" s="63">
        <f>X15</f>
        <v>0</v>
      </c>
      <c r="Y18" s="58">
        <f t="shared" si="0"/>
        <v>478932</v>
      </c>
      <c r="Z18" s="11"/>
      <c r="AA18" s="9"/>
      <c r="AB18" s="68">
        <f>Y18+AA18</f>
        <v>478932</v>
      </c>
    </row>
    <row r="19" spans="1:28" ht="11.25" customHeight="1">
      <c r="A19" s="9"/>
      <c r="B19" s="9"/>
      <c r="C19" s="12"/>
      <c r="D19" s="48"/>
      <c r="E19" s="55">
        <f t="shared" si="1"/>
        <v>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63"/>
      <c r="Y19" s="58">
        <f t="shared" si="0"/>
        <v>0</v>
      </c>
      <c r="Z19" s="9"/>
      <c r="AA19" s="9"/>
      <c r="AB19" s="68"/>
    </row>
    <row r="20" spans="1:29" ht="12.75">
      <c r="A20" s="8" t="s">
        <v>10</v>
      </c>
      <c r="B20" s="9"/>
      <c r="C20" s="9"/>
      <c r="D20" s="47"/>
      <c r="E20" s="55">
        <f t="shared" si="1"/>
        <v>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63"/>
      <c r="Y20" s="58">
        <f t="shared" si="0"/>
        <v>0</v>
      </c>
      <c r="Z20" s="9"/>
      <c r="AA20" s="9"/>
      <c r="AB20" s="68"/>
      <c r="AC20">
        <v>3</v>
      </c>
    </row>
    <row r="21" spans="1:28" ht="12.75">
      <c r="A21" s="10" t="s">
        <v>68</v>
      </c>
      <c r="B21" s="9">
        <v>144894</v>
      </c>
      <c r="C21" s="9">
        <v>2101</v>
      </c>
      <c r="D21" s="47">
        <f>B21+C21</f>
        <v>146995</v>
      </c>
      <c r="E21" s="55">
        <f t="shared" si="1"/>
        <v>41785</v>
      </c>
      <c r="F21" s="9">
        <v>6000</v>
      </c>
      <c r="G21" s="9"/>
      <c r="H21" s="9">
        <v>535</v>
      </c>
      <c r="I21" s="9"/>
      <c r="J21" s="9"/>
      <c r="K21" s="9"/>
      <c r="L21" s="9"/>
      <c r="M21" s="9"/>
      <c r="N21" s="9"/>
      <c r="O21" s="9"/>
      <c r="P21" s="9">
        <f>Q21+R21+S21+T21</f>
        <v>33640</v>
      </c>
      <c r="Q21" s="9">
        <v>29600</v>
      </c>
      <c r="R21" s="9">
        <v>2050</v>
      </c>
      <c r="S21" s="9">
        <v>1550</v>
      </c>
      <c r="T21" s="9">
        <v>440</v>
      </c>
      <c r="U21" s="9"/>
      <c r="V21" s="9"/>
      <c r="W21" s="9">
        <v>1610</v>
      </c>
      <c r="X21" s="63"/>
      <c r="Y21" s="58">
        <f t="shared" si="0"/>
        <v>188780</v>
      </c>
      <c r="Z21" s="9"/>
      <c r="AA21" s="9"/>
      <c r="AB21" s="68">
        <f>Y21+AA21</f>
        <v>188780</v>
      </c>
    </row>
    <row r="22" spans="1:28" ht="12.75">
      <c r="A22" s="10" t="s">
        <v>69</v>
      </c>
      <c r="B22" s="9">
        <v>172074</v>
      </c>
      <c r="C22" s="9">
        <v>2495</v>
      </c>
      <c r="D22" s="47">
        <f>B22+C22</f>
        <v>174569</v>
      </c>
      <c r="E22" s="55">
        <f t="shared" si="1"/>
        <v>67811</v>
      </c>
      <c r="F22" s="9">
        <v>4400</v>
      </c>
      <c r="G22" s="9"/>
      <c r="H22" s="9">
        <v>281</v>
      </c>
      <c r="I22" s="9"/>
      <c r="J22" s="9"/>
      <c r="K22" s="9"/>
      <c r="L22" s="9"/>
      <c r="M22" s="9">
        <v>19900</v>
      </c>
      <c r="N22" s="9"/>
      <c r="O22" s="9"/>
      <c r="P22" s="9">
        <f>Q22+R22+S22+T22</f>
        <v>33645</v>
      </c>
      <c r="Q22" s="9">
        <v>29500</v>
      </c>
      <c r="R22" s="9">
        <v>2350</v>
      </c>
      <c r="S22" s="9">
        <v>1349</v>
      </c>
      <c r="T22" s="9">
        <v>446</v>
      </c>
      <c r="U22" s="9"/>
      <c r="V22" s="9"/>
      <c r="W22" s="9">
        <v>9585</v>
      </c>
      <c r="X22" s="63"/>
      <c r="Y22" s="58">
        <f t="shared" si="0"/>
        <v>242380</v>
      </c>
      <c r="Z22" s="9"/>
      <c r="AA22" s="9">
        <v>13300</v>
      </c>
      <c r="AB22" s="68">
        <f>Y22+AA22</f>
        <v>255680</v>
      </c>
    </row>
    <row r="23" spans="1:28" ht="10.5" customHeight="1">
      <c r="A23" s="10"/>
      <c r="B23" s="9"/>
      <c r="C23" s="9"/>
      <c r="D23" s="47"/>
      <c r="E23" s="55">
        <f t="shared" si="1"/>
        <v>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f>Q23+R23+S23+T23</f>
        <v>0</v>
      </c>
      <c r="Q23" s="9"/>
      <c r="R23" s="9"/>
      <c r="S23" s="9"/>
      <c r="T23" s="9"/>
      <c r="U23" s="9"/>
      <c r="V23" s="9"/>
      <c r="W23" s="9"/>
      <c r="X23" s="63"/>
      <c r="Y23" s="58">
        <f t="shared" si="0"/>
        <v>0</v>
      </c>
      <c r="Z23" s="9"/>
      <c r="AA23" s="9"/>
      <c r="AB23" s="68">
        <f>Y23+AA23</f>
        <v>0</v>
      </c>
    </row>
    <row r="24" spans="1:28" ht="12.75">
      <c r="A24" s="10" t="s">
        <v>4</v>
      </c>
      <c r="B24" s="9">
        <f>ROUND((B22*97)/100,0)+3656</f>
        <v>170568</v>
      </c>
      <c r="C24" s="9">
        <f>ROUND((B24*1.45)/100,0)</f>
        <v>2473</v>
      </c>
      <c r="D24" s="47">
        <f>B24+C24</f>
        <v>173041</v>
      </c>
      <c r="E24" s="55">
        <f t="shared" si="1"/>
        <v>40185</v>
      </c>
      <c r="F24" s="9">
        <v>4400</v>
      </c>
      <c r="G24" s="9">
        <f>G21</f>
        <v>0</v>
      </c>
      <c r="H24" s="9">
        <v>281</v>
      </c>
      <c r="I24" s="9">
        <f>I22</f>
        <v>0</v>
      </c>
      <c r="J24" s="9">
        <f>J21</f>
        <v>0</v>
      </c>
      <c r="K24" s="9">
        <f>K21</f>
        <v>0</v>
      </c>
      <c r="L24" s="9"/>
      <c r="M24" s="9">
        <f>M21</f>
        <v>0</v>
      </c>
      <c r="N24" s="9">
        <f>N21</f>
        <v>0</v>
      </c>
      <c r="O24" s="9">
        <f>O21</f>
        <v>0</v>
      </c>
      <c r="P24" s="9">
        <f>SUM(Q24:T24)</f>
        <v>33640</v>
      </c>
      <c r="Q24" s="9">
        <f aca="true" t="shared" si="6" ref="Q24:V24">+Q21</f>
        <v>29600</v>
      </c>
      <c r="R24" s="9">
        <f t="shared" si="6"/>
        <v>2050</v>
      </c>
      <c r="S24" s="9">
        <f t="shared" si="6"/>
        <v>1550</v>
      </c>
      <c r="T24" s="9">
        <f t="shared" si="6"/>
        <v>440</v>
      </c>
      <c r="U24" s="9">
        <f t="shared" si="6"/>
        <v>0</v>
      </c>
      <c r="V24" s="9">
        <f t="shared" si="6"/>
        <v>0</v>
      </c>
      <c r="W24" s="9">
        <v>1864</v>
      </c>
      <c r="X24" s="63">
        <f>X21</f>
        <v>0</v>
      </c>
      <c r="Y24" s="58">
        <f t="shared" si="0"/>
        <v>213226</v>
      </c>
      <c r="Z24" s="11"/>
      <c r="AA24" s="9"/>
      <c r="AB24" s="68">
        <f>Y24+AA24</f>
        <v>213226</v>
      </c>
    </row>
    <row r="25" spans="1:28" ht="9.75" customHeight="1">
      <c r="A25" s="9"/>
      <c r="B25" s="9"/>
      <c r="C25" s="9"/>
      <c r="D25" s="47"/>
      <c r="E25" s="55">
        <f t="shared" si="1"/>
        <v>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63"/>
      <c r="Y25" s="58">
        <f t="shared" si="0"/>
        <v>0</v>
      </c>
      <c r="Z25" s="9"/>
      <c r="AA25" s="9"/>
      <c r="AB25" s="68"/>
    </row>
    <row r="26" spans="1:29" ht="12.75">
      <c r="A26" s="8" t="s">
        <v>11</v>
      </c>
      <c r="B26" s="9"/>
      <c r="C26" s="9"/>
      <c r="D26" s="47"/>
      <c r="E26" s="55">
        <f t="shared" si="1"/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63"/>
      <c r="Y26" s="58">
        <f t="shared" si="0"/>
        <v>0</v>
      </c>
      <c r="Z26" s="9"/>
      <c r="AA26" s="9"/>
      <c r="AB26" s="68"/>
      <c r="AC26">
        <v>4</v>
      </c>
    </row>
    <row r="27" spans="1:28" ht="12.75">
      <c r="A27" s="10" t="s">
        <v>68</v>
      </c>
      <c r="B27" s="9">
        <v>202304</v>
      </c>
      <c r="C27" s="9">
        <v>2933</v>
      </c>
      <c r="D27" s="47">
        <f>B27+C27</f>
        <v>205237</v>
      </c>
      <c r="E27" s="55">
        <f t="shared" si="1"/>
        <v>42351</v>
      </c>
      <c r="F27" s="9">
        <v>7000</v>
      </c>
      <c r="G27" s="9"/>
      <c r="H27" s="9">
        <v>780</v>
      </c>
      <c r="I27" s="9"/>
      <c r="J27" s="9"/>
      <c r="K27" s="9"/>
      <c r="L27" s="9"/>
      <c r="M27" s="9"/>
      <c r="N27" s="9"/>
      <c r="O27" s="9"/>
      <c r="P27" s="9">
        <f>Q27+R27+S27+T27</f>
        <v>29873</v>
      </c>
      <c r="Q27" s="9">
        <v>20970</v>
      </c>
      <c r="R27" s="9">
        <v>5880</v>
      </c>
      <c r="S27" s="9">
        <v>2280</v>
      </c>
      <c r="T27" s="9">
        <v>743</v>
      </c>
      <c r="U27" s="9"/>
      <c r="V27" s="9"/>
      <c r="W27" s="9">
        <v>4698</v>
      </c>
      <c r="X27" s="63"/>
      <c r="Y27" s="58">
        <f t="shared" si="0"/>
        <v>247588</v>
      </c>
      <c r="Z27" s="9"/>
      <c r="AA27" s="9"/>
      <c r="AB27" s="68">
        <f>Y27+AA27</f>
        <v>247588</v>
      </c>
    </row>
    <row r="28" spans="1:29" ht="12.75">
      <c r="A28" s="10" t="s">
        <v>69</v>
      </c>
      <c r="B28" s="20">
        <v>219640</v>
      </c>
      <c r="C28" s="9">
        <v>3185</v>
      </c>
      <c r="D28" s="47">
        <f>B28+C28</f>
        <v>222825</v>
      </c>
      <c r="E28" s="55">
        <f t="shared" si="1"/>
        <v>57746</v>
      </c>
      <c r="F28" s="9">
        <v>8800</v>
      </c>
      <c r="G28" s="9"/>
      <c r="H28" s="9">
        <v>936</v>
      </c>
      <c r="I28" s="9"/>
      <c r="J28" s="9"/>
      <c r="K28" s="9"/>
      <c r="L28" s="20"/>
      <c r="M28" s="9"/>
      <c r="N28" s="9">
        <v>160</v>
      </c>
      <c r="O28" s="9"/>
      <c r="P28" s="9">
        <f>Q28+R28+S28+T28</f>
        <v>30428</v>
      </c>
      <c r="Q28" s="9">
        <v>21000</v>
      </c>
      <c r="R28" s="9">
        <v>6200</v>
      </c>
      <c r="S28" s="9">
        <v>2688</v>
      </c>
      <c r="T28" s="9">
        <v>540</v>
      </c>
      <c r="U28" s="9">
        <v>1959</v>
      </c>
      <c r="V28" s="9"/>
      <c r="W28" s="9">
        <v>15463</v>
      </c>
      <c r="X28" s="63"/>
      <c r="Y28" s="58">
        <f t="shared" si="0"/>
        <v>280571</v>
      </c>
      <c r="Z28" s="9"/>
      <c r="AA28" s="9">
        <v>4200</v>
      </c>
      <c r="AB28" s="68">
        <f>Y28+AA28</f>
        <v>284771</v>
      </c>
      <c r="AC28" s="25"/>
    </row>
    <row r="29" spans="1:28" ht="10.5" customHeight="1">
      <c r="A29" s="10"/>
      <c r="B29" s="9"/>
      <c r="C29" s="9"/>
      <c r="D29" s="47"/>
      <c r="E29" s="55">
        <f t="shared" si="1"/>
        <v>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f>Q29+R29+S29+T29</f>
        <v>0</v>
      </c>
      <c r="Q29" s="9"/>
      <c r="R29" s="9"/>
      <c r="S29" s="9"/>
      <c r="T29" s="9"/>
      <c r="U29" s="9"/>
      <c r="V29" s="9"/>
      <c r="W29" s="9"/>
      <c r="X29" s="63"/>
      <c r="Y29" s="58">
        <f t="shared" si="0"/>
        <v>0</v>
      </c>
      <c r="Z29" s="9"/>
      <c r="AA29" s="9"/>
      <c r="AB29" s="68">
        <f>Y29+AA29</f>
        <v>0</v>
      </c>
    </row>
    <row r="30" spans="1:28" ht="12.75">
      <c r="A30" s="10" t="s">
        <v>4</v>
      </c>
      <c r="B30" s="9">
        <f>ROUND((B28*97)/100,0)+7231+719+4929</f>
        <v>225930</v>
      </c>
      <c r="C30" s="9">
        <f>ROUND((B30*1.45)/100,0)</f>
        <v>3276</v>
      </c>
      <c r="D30" s="47">
        <f>B30+C30</f>
        <v>229206</v>
      </c>
      <c r="E30" s="55">
        <f t="shared" si="1"/>
        <v>44467</v>
      </c>
      <c r="F30" s="9">
        <v>8800</v>
      </c>
      <c r="G30" s="9"/>
      <c r="H30" s="9">
        <v>936</v>
      </c>
      <c r="I30" s="9">
        <f>I28</f>
        <v>0</v>
      </c>
      <c r="J30" s="9">
        <f>J27</f>
        <v>0</v>
      </c>
      <c r="K30" s="9">
        <f>K27</f>
        <v>0</v>
      </c>
      <c r="L30" s="9"/>
      <c r="M30" s="9">
        <f>M27</f>
        <v>0</v>
      </c>
      <c r="N30" s="9">
        <v>160</v>
      </c>
      <c r="O30" s="9">
        <f>O27</f>
        <v>0</v>
      </c>
      <c r="P30" s="9">
        <f>SUM(Q30:T30)</f>
        <v>29873</v>
      </c>
      <c r="Q30" s="9">
        <f aca="true" t="shared" si="7" ref="Q30:W30">+Q27</f>
        <v>20970</v>
      </c>
      <c r="R30" s="9">
        <f t="shared" si="7"/>
        <v>5880</v>
      </c>
      <c r="S30" s="9">
        <f t="shared" si="7"/>
        <v>2280</v>
      </c>
      <c r="T30" s="9">
        <f t="shared" si="7"/>
        <v>743</v>
      </c>
      <c r="U30" s="9">
        <f t="shared" si="7"/>
        <v>0</v>
      </c>
      <c r="V30" s="9">
        <f t="shared" si="7"/>
        <v>0</v>
      </c>
      <c r="W30" s="9">
        <f t="shared" si="7"/>
        <v>4698</v>
      </c>
      <c r="X30" s="63">
        <f>X27</f>
        <v>0</v>
      </c>
      <c r="Y30" s="58">
        <f t="shared" si="0"/>
        <v>273673</v>
      </c>
      <c r="Z30" s="11"/>
      <c r="AA30" s="9"/>
      <c r="AB30" s="68">
        <f>Y30+AA30</f>
        <v>273673</v>
      </c>
    </row>
    <row r="31" spans="1:28" ht="12" customHeight="1">
      <c r="A31" s="9"/>
      <c r="B31" s="9"/>
      <c r="C31" s="9"/>
      <c r="D31" s="47"/>
      <c r="E31" s="55">
        <f t="shared" si="1"/>
        <v>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63"/>
      <c r="Y31" s="58">
        <f t="shared" si="0"/>
        <v>0</v>
      </c>
      <c r="Z31" s="9"/>
      <c r="AA31" s="9"/>
      <c r="AB31" s="68"/>
    </row>
    <row r="32" spans="1:29" ht="12.75">
      <c r="A32" s="8" t="s">
        <v>37</v>
      </c>
      <c r="B32" s="9"/>
      <c r="C32" s="9"/>
      <c r="D32" s="47"/>
      <c r="E32" s="55">
        <f t="shared" si="1"/>
        <v>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63"/>
      <c r="Y32" s="58">
        <f t="shared" si="0"/>
        <v>0</v>
      </c>
      <c r="Z32" s="9"/>
      <c r="AA32" s="9"/>
      <c r="AB32" s="68"/>
      <c r="AC32">
        <v>5</v>
      </c>
    </row>
    <row r="33" spans="1:28" ht="12.75">
      <c r="A33" s="10" t="s">
        <v>68</v>
      </c>
      <c r="B33" s="11">
        <v>114302</v>
      </c>
      <c r="C33" s="9">
        <v>1657</v>
      </c>
      <c r="D33" s="47">
        <f>B33+C33</f>
        <v>115959</v>
      </c>
      <c r="E33" s="55">
        <f t="shared" si="1"/>
        <v>20046</v>
      </c>
      <c r="F33" s="9">
        <v>2500</v>
      </c>
      <c r="G33" s="9"/>
      <c r="H33" s="9">
        <v>360</v>
      </c>
      <c r="I33" s="9"/>
      <c r="J33" s="9"/>
      <c r="K33" s="9"/>
      <c r="L33" s="9"/>
      <c r="M33" s="9"/>
      <c r="N33" s="9"/>
      <c r="O33" s="9"/>
      <c r="P33" s="9">
        <f>Q33+R33+S33+T33</f>
        <v>14398</v>
      </c>
      <c r="Q33" s="9">
        <v>11063</v>
      </c>
      <c r="R33" s="9">
        <v>2553</v>
      </c>
      <c r="S33" s="9">
        <v>573</v>
      </c>
      <c r="T33" s="9">
        <v>209</v>
      </c>
      <c r="U33" s="9">
        <v>510</v>
      </c>
      <c r="V33" s="9"/>
      <c r="W33" s="9">
        <v>2278</v>
      </c>
      <c r="X33" s="63"/>
      <c r="Y33" s="58">
        <f t="shared" si="0"/>
        <v>136005</v>
      </c>
      <c r="Z33" s="9"/>
      <c r="AA33" s="9"/>
      <c r="AB33" s="68">
        <f>Y33+AA33</f>
        <v>136005</v>
      </c>
    </row>
    <row r="34" spans="1:28" ht="12.75">
      <c r="A34" s="10" t="s">
        <v>69</v>
      </c>
      <c r="B34" s="11">
        <v>134425</v>
      </c>
      <c r="C34" s="9">
        <v>1949</v>
      </c>
      <c r="D34" s="47">
        <f>B34+C34</f>
        <v>136374</v>
      </c>
      <c r="E34" s="55">
        <f t="shared" si="1"/>
        <v>30070</v>
      </c>
      <c r="F34" s="9">
        <v>4400</v>
      </c>
      <c r="G34" s="9"/>
      <c r="H34" s="9">
        <v>466</v>
      </c>
      <c r="I34" s="9"/>
      <c r="J34" s="9"/>
      <c r="K34" s="9"/>
      <c r="L34" s="9"/>
      <c r="M34" s="9"/>
      <c r="N34" s="9"/>
      <c r="O34" s="9"/>
      <c r="P34" s="9">
        <f>Q34+R34+S34+T34</f>
        <v>14729</v>
      </c>
      <c r="Q34" s="9">
        <v>11263</v>
      </c>
      <c r="R34" s="9">
        <v>2608</v>
      </c>
      <c r="S34" s="9">
        <v>570</v>
      </c>
      <c r="T34" s="9">
        <v>288</v>
      </c>
      <c r="U34" s="9">
        <v>750</v>
      </c>
      <c r="V34" s="9"/>
      <c r="W34" s="9">
        <v>9725</v>
      </c>
      <c r="X34" s="63"/>
      <c r="Y34" s="58">
        <f t="shared" si="0"/>
        <v>166444</v>
      </c>
      <c r="Z34" s="9"/>
      <c r="AA34" s="9"/>
      <c r="AB34" s="68">
        <f>Y34+AA34</f>
        <v>166444</v>
      </c>
    </row>
    <row r="35" spans="1:28" ht="10.5" customHeight="1">
      <c r="A35" s="10"/>
      <c r="B35" s="11"/>
      <c r="C35" s="9">
        <v>0</v>
      </c>
      <c r="D35" s="47"/>
      <c r="E35" s="55">
        <f t="shared" si="1"/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f>Q35+R35+S35+T35</f>
        <v>0</v>
      </c>
      <c r="Q35" s="9"/>
      <c r="R35" s="9"/>
      <c r="S35" s="9"/>
      <c r="T35" s="9"/>
      <c r="U35" s="9"/>
      <c r="V35" s="9"/>
      <c r="W35" s="9"/>
      <c r="X35" s="63"/>
      <c r="Y35" s="58">
        <f t="shared" si="0"/>
        <v>0</v>
      </c>
      <c r="Z35" s="9"/>
      <c r="AA35" s="9"/>
      <c r="AB35" s="68">
        <f>Y35+AA35</f>
        <v>0</v>
      </c>
    </row>
    <row r="36" spans="1:28" ht="12.75">
      <c r="A36" s="10" t="s">
        <v>4</v>
      </c>
      <c r="B36" s="9">
        <f>ROUND((B34*97)/100,0)+2928</f>
        <v>133320</v>
      </c>
      <c r="C36" s="9">
        <f>ROUND((B36*1.45)/100,0)</f>
        <v>1933</v>
      </c>
      <c r="D36" s="47">
        <f>B36+C36</f>
        <v>135253</v>
      </c>
      <c r="E36" s="55">
        <f t="shared" si="1"/>
        <v>22052</v>
      </c>
      <c r="F36" s="9">
        <v>4400</v>
      </c>
      <c r="G36" s="9">
        <f aca="true" t="shared" si="8" ref="G36:O36">G33</f>
        <v>0</v>
      </c>
      <c r="H36" s="9">
        <v>466</v>
      </c>
      <c r="I36" s="9">
        <f>I34</f>
        <v>0</v>
      </c>
      <c r="J36" s="9">
        <f t="shared" si="8"/>
        <v>0</v>
      </c>
      <c r="K36" s="9">
        <f t="shared" si="8"/>
        <v>0</v>
      </c>
      <c r="L36" s="9"/>
      <c r="M36" s="9">
        <f t="shared" si="8"/>
        <v>0</v>
      </c>
      <c r="N36" s="9">
        <f t="shared" si="8"/>
        <v>0</v>
      </c>
      <c r="O36" s="9">
        <f t="shared" si="8"/>
        <v>0</v>
      </c>
      <c r="P36" s="9">
        <f>SUM(Q36:T36)</f>
        <v>14398</v>
      </c>
      <c r="Q36" s="9">
        <f aca="true" t="shared" si="9" ref="Q36:W36">+Q33</f>
        <v>11063</v>
      </c>
      <c r="R36" s="9">
        <f t="shared" si="9"/>
        <v>2553</v>
      </c>
      <c r="S36" s="9">
        <f t="shared" si="9"/>
        <v>573</v>
      </c>
      <c r="T36" s="9">
        <f t="shared" si="9"/>
        <v>209</v>
      </c>
      <c r="U36" s="9">
        <f t="shared" si="9"/>
        <v>510</v>
      </c>
      <c r="V36" s="9">
        <f t="shared" si="9"/>
        <v>0</v>
      </c>
      <c r="W36" s="9">
        <f t="shared" si="9"/>
        <v>2278</v>
      </c>
      <c r="X36" s="63">
        <f>X33</f>
        <v>0</v>
      </c>
      <c r="Y36" s="58">
        <f t="shared" si="0"/>
        <v>157305</v>
      </c>
      <c r="Z36" s="11"/>
      <c r="AA36" s="9"/>
      <c r="AB36" s="68">
        <f>Y36+AA36</f>
        <v>157305</v>
      </c>
    </row>
    <row r="37" spans="1:28" ht="10.5" customHeight="1">
      <c r="A37" s="9"/>
      <c r="B37" s="9"/>
      <c r="C37" s="9"/>
      <c r="D37" s="47"/>
      <c r="E37" s="55">
        <f t="shared" si="1"/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63"/>
      <c r="Y37" s="58">
        <f t="shared" si="0"/>
        <v>0</v>
      </c>
      <c r="Z37" s="9"/>
      <c r="AA37" s="9"/>
      <c r="AB37" s="68"/>
    </row>
    <row r="38" spans="1:29" ht="12.75">
      <c r="A38" s="8" t="s">
        <v>50</v>
      </c>
      <c r="B38" s="11"/>
      <c r="C38" s="9"/>
      <c r="D38" s="47"/>
      <c r="E38" s="55">
        <f t="shared" si="1"/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63"/>
      <c r="Y38" s="58">
        <f t="shared" si="0"/>
        <v>0</v>
      </c>
      <c r="Z38" s="9"/>
      <c r="AA38" s="9"/>
      <c r="AB38" s="68"/>
      <c r="AC38">
        <v>6</v>
      </c>
    </row>
    <row r="39" spans="1:28" ht="12.75">
      <c r="A39" s="10" t="s">
        <v>68</v>
      </c>
      <c r="B39" s="11">
        <v>106377</v>
      </c>
      <c r="C39" s="9">
        <v>1542</v>
      </c>
      <c r="D39" s="47">
        <f>B39+C39</f>
        <v>107919</v>
      </c>
      <c r="E39" s="55">
        <f t="shared" si="1"/>
        <v>3572</v>
      </c>
      <c r="F39" s="9">
        <v>2000</v>
      </c>
      <c r="G39" s="9"/>
      <c r="H39" s="9">
        <v>420</v>
      </c>
      <c r="I39" s="9"/>
      <c r="J39" s="9"/>
      <c r="K39" s="9"/>
      <c r="L39" s="9"/>
      <c r="M39" s="9"/>
      <c r="N39" s="9"/>
      <c r="O39" s="9"/>
      <c r="P39" s="9">
        <f>Q39+R39+S39+T39</f>
        <v>61</v>
      </c>
      <c r="Q39" s="9"/>
      <c r="R39" s="9"/>
      <c r="S39" s="9"/>
      <c r="T39" s="9">
        <v>61</v>
      </c>
      <c r="U39" s="9"/>
      <c r="V39" s="9"/>
      <c r="W39" s="9">
        <v>1091</v>
      </c>
      <c r="X39" s="63"/>
      <c r="Y39" s="58">
        <f t="shared" si="0"/>
        <v>111491</v>
      </c>
      <c r="Z39" s="9"/>
      <c r="AA39" s="9"/>
      <c r="AB39" s="68">
        <f>Y39+AA39</f>
        <v>111491</v>
      </c>
    </row>
    <row r="40" spans="1:28" ht="12.75">
      <c r="A40" s="10" t="s">
        <v>69</v>
      </c>
      <c r="B40" s="11">
        <v>116631</v>
      </c>
      <c r="C40" s="9">
        <v>1691</v>
      </c>
      <c r="D40" s="47">
        <f>B40+C40</f>
        <v>118322</v>
      </c>
      <c r="E40" s="55">
        <f t="shared" si="1"/>
        <v>4560</v>
      </c>
      <c r="F40" s="9">
        <v>2000</v>
      </c>
      <c r="G40" s="9"/>
      <c r="H40" s="9">
        <v>480</v>
      </c>
      <c r="I40" s="9"/>
      <c r="J40" s="9"/>
      <c r="K40" s="9"/>
      <c r="L40" s="9"/>
      <c r="M40" s="9"/>
      <c r="N40" s="9"/>
      <c r="O40" s="9"/>
      <c r="P40" s="9">
        <f>Q40+R40+S40+T40</f>
        <v>0</v>
      </c>
      <c r="Q40" s="9"/>
      <c r="R40" s="9"/>
      <c r="S40" s="9"/>
      <c r="T40" s="9"/>
      <c r="U40" s="9">
        <v>210</v>
      </c>
      <c r="V40" s="9"/>
      <c r="W40" s="9">
        <v>1870</v>
      </c>
      <c r="X40" s="63"/>
      <c r="Y40" s="58">
        <f t="shared" si="0"/>
        <v>122882</v>
      </c>
      <c r="Z40" s="9"/>
      <c r="AA40" s="9"/>
      <c r="AB40" s="68">
        <f>Y40+AA40</f>
        <v>122882</v>
      </c>
    </row>
    <row r="41" spans="1:28" ht="9.75" customHeight="1">
      <c r="A41" s="10"/>
      <c r="B41" s="11">
        <v>0</v>
      </c>
      <c r="C41" s="9">
        <v>0</v>
      </c>
      <c r="D41" s="47"/>
      <c r="E41" s="55">
        <f t="shared" si="1"/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f>Q41+R41+S41+T41</f>
        <v>0</v>
      </c>
      <c r="Q41" s="9"/>
      <c r="R41" s="9"/>
      <c r="S41" s="9"/>
      <c r="T41" s="9"/>
      <c r="U41" s="9"/>
      <c r="V41" s="9"/>
      <c r="W41" s="9"/>
      <c r="X41" s="63"/>
      <c r="Y41" s="58">
        <f t="shared" si="0"/>
        <v>0</v>
      </c>
      <c r="Z41" s="9"/>
      <c r="AA41" s="9"/>
      <c r="AB41" s="68">
        <f>Y41+AA41</f>
        <v>0</v>
      </c>
    </row>
    <row r="42" spans="1:28" ht="12.75">
      <c r="A42" s="10" t="s">
        <v>4</v>
      </c>
      <c r="B42" s="9">
        <f>ROUND((B40*97)/100,0)+2018+2267</f>
        <v>117417</v>
      </c>
      <c r="C42" s="9">
        <f>ROUND((B42*1.45)/100,0)</f>
        <v>1703</v>
      </c>
      <c r="D42" s="47">
        <f>B42+C42</f>
        <v>119120</v>
      </c>
      <c r="E42" s="55">
        <f t="shared" si="1"/>
        <v>3632</v>
      </c>
      <c r="F42" s="9">
        <v>2000</v>
      </c>
      <c r="G42" s="9">
        <f aca="true" t="shared" si="10" ref="G42:O42">G39</f>
        <v>0</v>
      </c>
      <c r="H42" s="9">
        <v>480</v>
      </c>
      <c r="I42" s="9">
        <f>I40</f>
        <v>0</v>
      </c>
      <c r="J42" s="9">
        <f t="shared" si="10"/>
        <v>0</v>
      </c>
      <c r="K42" s="9">
        <f t="shared" si="10"/>
        <v>0</v>
      </c>
      <c r="L42" s="9"/>
      <c r="M42" s="9">
        <f t="shared" si="10"/>
        <v>0</v>
      </c>
      <c r="N42" s="9">
        <f t="shared" si="10"/>
        <v>0</v>
      </c>
      <c r="O42" s="9">
        <f t="shared" si="10"/>
        <v>0</v>
      </c>
      <c r="P42" s="9">
        <f>SUM(Q42:T42)</f>
        <v>61</v>
      </c>
      <c r="Q42" s="9">
        <f aca="true" t="shared" si="11" ref="Q42:W42">+Q39</f>
        <v>0</v>
      </c>
      <c r="R42" s="9">
        <f t="shared" si="11"/>
        <v>0</v>
      </c>
      <c r="S42" s="9">
        <f t="shared" si="11"/>
        <v>0</v>
      </c>
      <c r="T42" s="9">
        <f t="shared" si="11"/>
        <v>61</v>
      </c>
      <c r="U42" s="9">
        <f t="shared" si="11"/>
        <v>0</v>
      </c>
      <c r="V42" s="9">
        <f t="shared" si="11"/>
        <v>0</v>
      </c>
      <c r="W42" s="9">
        <f t="shared" si="11"/>
        <v>1091</v>
      </c>
      <c r="X42" s="63">
        <f>X39</f>
        <v>0</v>
      </c>
      <c r="Y42" s="58">
        <f t="shared" si="0"/>
        <v>122752</v>
      </c>
      <c r="Z42" s="11"/>
      <c r="AA42" s="9"/>
      <c r="AB42" s="68">
        <f>Y42+AA42</f>
        <v>122752</v>
      </c>
    </row>
    <row r="43" spans="1:28" ht="12.75">
      <c r="A43" s="9"/>
      <c r="B43" s="9"/>
      <c r="C43" s="9"/>
      <c r="D43" s="47"/>
      <c r="E43" s="55">
        <f t="shared" si="1"/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63"/>
      <c r="Y43" s="58">
        <f t="shared" si="0"/>
        <v>0</v>
      </c>
      <c r="Z43" s="9"/>
      <c r="AA43" s="9"/>
      <c r="AB43" s="68"/>
    </row>
    <row r="44" spans="1:29" ht="12.75">
      <c r="A44" s="8" t="s">
        <v>30</v>
      </c>
      <c r="B44" s="9"/>
      <c r="C44" s="9"/>
      <c r="D44" s="47"/>
      <c r="E44" s="55">
        <f t="shared" si="1"/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63"/>
      <c r="Y44" s="58">
        <f t="shared" si="0"/>
        <v>0</v>
      </c>
      <c r="Z44" s="9"/>
      <c r="AA44" s="9"/>
      <c r="AB44" s="68"/>
      <c r="AC44">
        <v>7</v>
      </c>
    </row>
    <row r="45" spans="1:28" ht="12.75">
      <c r="A45" s="10" t="s">
        <v>68</v>
      </c>
      <c r="B45" s="9">
        <v>372554</v>
      </c>
      <c r="C45" s="9">
        <v>5402</v>
      </c>
      <c r="D45" s="47">
        <f>B45+C45</f>
        <v>377956</v>
      </c>
      <c r="E45" s="55">
        <f t="shared" si="1"/>
        <v>52548</v>
      </c>
      <c r="F45" s="9">
        <v>18733</v>
      </c>
      <c r="G45" s="9"/>
      <c r="H45" s="9">
        <v>600</v>
      </c>
      <c r="I45" s="9"/>
      <c r="J45" s="9"/>
      <c r="K45" s="9"/>
      <c r="L45" s="9"/>
      <c r="M45" s="9"/>
      <c r="N45" s="9"/>
      <c r="O45" s="9"/>
      <c r="P45" s="9">
        <f>Q45+R45+S45+T45</f>
        <v>27215</v>
      </c>
      <c r="Q45" s="13">
        <v>18000</v>
      </c>
      <c r="R45" s="9">
        <v>5249</v>
      </c>
      <c r="S45" s="9">
        <v>2976</v>
      </c>
      <c r="T45" s="9">
        <v>990</v>
      </c>
      <c r="U45" s="9"/>
      <c r="V45" s="9"/>
      <c r="W45" s="9">
        <v>6000</v>
      </c>
      <c r="X45" s="63"/>
      <c r="Y45" s="58">
        <f t="shared" si="0"/>
        <v>430504</v>
      </c>
      <c r="Z45" s="9"/>
      <c r="AA45" s="9"/>
      <c r="AB45" s="68">
        <f>Y45+AA45</f>
        <v>430504</v>
      </c>
    </row>
    <row r="46" spans="1:28" ht="12.75">
      <c r="A46" s="10" t="s">
        <v>69</v>
      </c>
      <c r="B46" s="20">
        <v>447385</v>
      </c>
      <c r="C46" s="9">
        <v>6487</v>
      </c>
      <c r="D46" s="47">
        <f>B46+C46</f>
        <v>453872</v>
      </c>
      <c r="E46" s="55">
        <f t="shared" si="1"/>
        <v>73110</v>
      </c>
      <c r="F46" s="13">
        <v>20900</v>
      </c>
      <c r="G46" s="9">
        <v>310</v>
      </c>
      <c r="H46" s="9">
        <v>600</v>
      </c>
      <c r="I46" s="9"/>
      <c r="J46" s="9"/>
      <c r="K46" s="9"/>
      <c r="L46" s="9"/>
      <c r="M46" s="9">
        <v>14000</v>
      </c>
      <c r="N46" s="9"/>
      <c r="O46" s="9"/>
      <c r="P46" s="9">
        <f>Q46+R46+S46+T46</f>
        <v>30000</v>
      </c>
      <c r="Q46" s="9">
        <v>20600</v>
      </c>
      <c r="R46" s="9">
        <v>5410</v>
      </c>
      <c r="S46" s="9">
        <v>3000</v>
      </c>
      <c r="T46" s="9">
        <v>990</v>
      </c>
      <c r="U46" s="9"/>
      <c r="V46" s="9">
        <v>500</v>
      </c>
      <c r="W46" s="9">
        <v>6800</v>
      </c>
      <c r="X46" s="63"/>
      <c r="Y46" s="58">
        <f t="shared" si="0"/>
        <v>526982</v>
      </c>
      <c r="Z46" s="9"/>
      <c r="AA46" s="13"/>
      <c r="AB46" s="68">
        <f>Y46+AA46</f>
        <v>526982</v>
      </c>
    </row>
    <row r="47" spans="1:28" ht="10.5" customHeight="1">
      <c r="A47" s="10"/>
      <c r="B47" s="9">
        <v>0</v>
      </c>
      <c r="C47" s="9">
        <v>0</v>
      </c>
      <c r="D47" s="47"/>
      <c r="E47" s="55">
        <f t="shared" si="1"/>
        <v>0</v>
      </c>
      <c r="F47" s="13"/>
      <c r="G47" s="9"/>
      <c r="H47" s="9"/>
      <c r="I47" s="9"/>
      <c r="J47" s="9"/>
      <c r="K47" s="9"/>
      <c r="L47" s="9"/>
      <c r="M47" s="9"/>
      <c r="N47" s="9"/>
      <c r="O47" s="9"/>
      <c r="P47" s="9">
        <f>Q47+R47+S47+T47</f>
        <v>0</v>
      </c>
      <c r="Q47" s="9"/>
      <c r="R47" s="9"/>
      <c r="S47" s="9"/>
      <c r="T47" s="9"/>
      <c r="U47" s="9"/>
      <c r="V47" s="9"/>
      <c r="W47" s="9"/>
      <c r="X47" s="63"/>
      <c r="Y47" s="58">
        <f t="shared" si="0"/>
        <v>0</v>
      </c>
      <c r="Z47" s="9"/>
      <c r="AA47" s="9"/>
      <c r="AB47" s="68">
        <f>Y47+AA47</f>
        <v>0</v>
      </c>
    </row>
    <row r="48" spans="1:32" ht="12.75" customHeight="1">
      <c r="A48" s="10" t="s">
        <v>4</v>
      </c>
      <c r="B48" s="9">
        <f>ROUND((B46*97)/100,0)+9847+7886</f>
        <v>451696</v>
      </c>
      <c r="C48" s="9">
        <f>ROUND((B48*1.45)/100,0)</f>
        <v>6550</v>
      </c>
      <c r="D48" s="47">
        <f>B48+C48</f>
        <v>458246</v>
      </c>
      <c r="E48" s="55">
        <f t="shared" si="1"/>
        <v>54715</v>
      </c>
      <c r="F48" s="9">
        <v>20900</v>
      </c>
      <c r="G48" s="9">
        <f aca="true" t="shared" si="12" ref="G48:O48">G45</f>
        <v>0</v>
      </c>
      <c r="H48" s="9">
        <v>600</v>
      </c>
      <c r="I48" s="9">
        <f>I46</f>
        <v>0</v>
      </c>
      <c r="J48" s="9">
        <f t="shared" si="12"/>
        <v>0</v>
      </c>
      <c r="K48" s="9">
        <f t="shared" si="12"/>
        <v>0</v>
      </c>
      <c r="L48" s="9"/>
      <c r="M48" s="9">
        <f t="shared" si="12"/>
        <v>0</v>
      </c>
      <c r="N48" s="9">
        <f t="shared" si="12"/>
        <v>0</v>
      </c>
      <c r="O48" s="9">
        <f t="shared" si="12"/>
        <v>0</v>
      </c>
      <c r="P48" s="9">
        <f>SUM(Q48:T48)</f>
        <v>27215</v>
      </c>
      <c r="Q48" s="9">
        <f aca="true" t="shared" si="13" ref="Q48:W48">+Q45</f>
        <v>18000</v>
      </c>
      <c r="R48" s="9">
        <f t="shared" si="13"/>
        <v>5249</v>
      </c>
      <c r="S48" s="9">
        <f t="shared" si="13"/>
        <v>2976</v>
      </c>
      <c r="T48" s="9">
        <f t="shared" si="13"/>
        <v>990</v>
      </c>
      <c r="U48" s="9">
        <f t="shared" si="13"/>
        <v>0</v>
      </c>
      <c r="V48" s="9">
        <f t="shared" si="13"/>
        <v>0</v>
      </c>
      <c r="W48" s="9">
        <f t="shared" si="13"/>
        <v>6000</v>
      </c>
      <c r="X48" s="63">
        <f>X45</f>
        <v>0</v>
      </c>
      <c r="Y48" s="58">
        <f t="shared" si="0"/>
        <v>512961</v>
      </c>
      <c r="Z48" s="11"/>
      <c r="AA48" s="9"/>
      <c r="AB48" s="68">
        <f>Y48+AA48</f>
        <v>512961</v>
      </c>
      <c r="AD48" s="25"/>
      <c r="AE48" s="25"/>
      <c r="AF48" s="25"/>
    </row>
    <row r="49" spans="1:28" ht="12.75">
      <c r="A49" s="9"/>
      <c r="B49" s="9"/>
      <c r="C49" s="9"/>
      <c r="D49" s="47"/>
      <c r="E49" s="55">
        <f t="shared" si="1"/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63"/>
      <c r="Y49" s="58">
        <f t="shared" si="0"/>
        <v>0</v>
      </c>
      <c r="Z49" s="9"/>
      <c r="AA49" s="9"/>
      <c r="AB49" s="68"/>
    </row>
    <row r="50" spans="1:29" ht="12.75">
      <c r="A50" s="8" t="s">
        <v>25</v>
      </c>
      <c r="B50" s="20"/>
      <c r="C50" s="9"/>
      <c r="D50" s="47"/>
      <c r="E50" s="55">
        <f t="shared" si="1"/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63"/>
      <c r="Y50" s="58">
        <f t="shared" si="0"/>
        <v>0</v>
      </c>
      <c r="Z50" s="9"/>
      <c r="AA50" s="9"/>
      <c r="AB50" s="68"/>
      <c r="AC50">
        <v>8</v>
      </c>
    </row>
    <row r="51" spans="1:28" ht="12.75">
      <c r="A51" s="10" t="s">
        <v>68</v>
      </c>
      <c r="B51" s="11">
        <v>149162</v>
      </c>
      <c r="C51" s="9">
        <v>2163</v>
      </c>
      <c r="D51" s="47">
        <f>B51+C51</f>
        <v>151325</v>
      </c>
      <c r="E51" s="55">
        <f t="shared" si="1"/>
        <v>31949</v>
      </c>
      <c r="F51" s="9"/>
      <c r="G51" s="9"/>
      <c r="H51" s="9">
        <v>200</v>
      </c>
      <c r="I51" s="9"/>
      <c r="J51" s="9"/>
      <c r="K51" s="9"/>
      <c r="L51" s="9"/>
      <c r="M51" s="9">
        <v>500</v>
      </c>
      <c r="N51" s="9">
        <v>300</v>
      </c>
      <c r="O51" s="9"/>
      <c r="P51" s="9">
        <f>Q51+R51+S51+T51</f>
        <v>26716</v>
      </c>
      <c r="Q51" s="9">
        <v>19596</v>
      </c>
      <c r="R51" s="9">
        <v>5015</v>
      </c>
      <c r="S51" s="9">
        <v>1305</v>
      </c>
      <c r="T51" s="9">
        <v>800</v>
      </c>
      <c r="U51" s="9"/>
      <c r="V51" s="9"/>
      <c r="W51" s="9">
        <v>4233</v>
      </c>
      <c r="X51" s="63">
        <v>15926</v>
      </c>
      <c r="Y51" s="58">
        <f t="shared" si="0"/>
        <v>199200</v>
      </c>
      <c r="Z51" s="9"/>
      <c r="AA51" s="9">
        <v>0</v>
      </c>
      <c r="AB51" s="68">
        <f>Y51+AA51</f>
        <v>199200</v>
      </c>
    </row>
    <row r="52" spans="1:32" ht="12.75">
      <c r="A52" s="10" t="s">
        <v>69</v>
      </c>
      <c r="B52" s="11">
        <v>173194</v>
      </c>
      <c r="C52" s="9">
        <v>2511</v>
      </c>
      <c r="D52" s="47">
        <f>B52+C52</f>
        <v>175705</v>
      </c>
      <c r="E52" s="55">
        <f t="shared" si="1"/>
        <v>95707</v>
      </c>
      <c r="F52" s="9"/>
      <c r="G52" s="9"/>
      <c r="H52" s="9">
        <v>200</v>
      </c>
      <c r="I52" s="9"/>
      <c r="J52" s="9"/>
      <c r="K52" s="9"/>
      <c r="L52" s="9"/>
      <c r="M52" s="9">
        <v>29500</v>
      </c>
      <c r="N52" s="9">
        <v>300</v>
      </c>
      <c r="O52" s="9"/>
      <c r="P52" s="9">
        <f>Q52+R52+S52+T52</f>
        <v>28748</v>
      </c>
      <c r="Q52" s="9">
        <v>21277</v>
      </c>
      <c r="R52" s="9">
        <v>5097</v>
      </c>
      <c r="S52" s="9">
        <v>1474</v>
      </c>
      <c r="T52" s="9">
        <v>900</v>
      </c>
      <c r="U52" s="9"/>
      <c r="V52" s="9"/>
      <c r="W52" s="9">
        <v>36959</v>
      </c>
      <c r="X52" s="63">
        <v>9753</v>
      </c>
      <c r="Y52" s="58">
        <f t="shared" si="0"/>
        <v>281165</v>
      </c>
      <c r="Z52" s="9"/>
      <c r="AA52" s="9">
        <v>34635</v>
      </c>
      <c r="AB52" s="68">
        <f>Y52+AA52</f>
        <v>315800</v>
      </c>
      <c r="AC52" s="25"/>
      <c r="AD52" s="25"/>
      <c r="AE52" s="25"/>
      <c r="AF52" s="25"/>
    </row>
    <row r="53" spans="1:28" ht="12.75">
      <c r="A53" s="10"/>
      <c r="B53" s="11">
        <v>0</v>
      </c>
      <c r="C53" s="9">
        <v>0</v>
      </c>
      <c r="D53" s="47"/>
      <c r="E53" s="55">
        <f t="shared" si="1"/>
        <v>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f>Q53+R53+S53+T53</f>
        <v>0</v>
      </c>
      <c r="Q53" s="9"/>
      <c r="R53" s="9"/>
      <c r="S53" s="9"/>
      <c r="T53" s="9"/>
      <c r="U53" s="9"/>
      <c r="V53" s="9"/>
      <c r="W53" s="9"/>
      <c r="X53" s="63"/>
      <c r="Y53" s="58">
        <f t="shared" si="0"/>
        <v>0</v>
      </c>
      <c r="Z53" s="9"/>
      <c r="AA53" s="9"/>
      <c r="AB53" s="68">
        <f>Y53+AA53</f>
        <v>0</v>
      </c>
    </row>
    <row r="54" spans="1:28" ht="12.75">
      <c r="A54" s="10" t="s">
        <v>4</v>
      </c>
      <c r="B54" s="9">
        <f>ROUND((B52*97)/100,0)+4379</f>
        <v>172377</v>
      </c>
      <c r="C54" s="9">
        <f>ROUND((B54*1.45)/100,0)</f>
        <v>2499</v>
      </c>
      <c r="D54" s="47">
        <f>B54+C54</f>
        <v>174876</v>
      </c>
      <c r="E54" s="55">
        <f t="shared" si="1"/>
        <v>31949</v>
      </c>
      <c r="F54" s="9">
        <f>F51</f>
        <v>0</v>
      </c>
      <c r="G54" s="9">
        <f>G51</f>
        <v>0</v>
      </c>
      <c r="H54" s="9">
        <v>200</v>
      </c>
      <c r="I54" s="9">
        <f>I52</f>
        <v>0</v>
      </c>
      <c r="J54" s="9">
        <f>J51</f>
        <v>0</v>
      </c>
      <c r="K54" s="9">
        <f>K51</f>
        <v>0</v>
      </c>
      <c r="L54" s="9"/>
      <c r="M54" s="9">
        <v>500</v>
      </c>
      <c r="N54" s="9">
        <v>300</v>
      </c>
      <c r="O54" s="9">
        <f>O51</f>
        <v>0</v>
      </c>
      <c r="P54" s="9">
        <f>SUM(Q54:T54)</f>
        <v>26716</v>
      </c>
      <c r="Q54" s="9">
        <f aca="true" t="shared" si="14" ref="Q54:W54">+Q51</f>
        <v>19596</v>
      </c>
      <c r="R54" s="9">
        <f t="shared" si="14"/>
        <v>5015</v>
      </c>
      <c r="S54" s="9">
        <f t="shared" si="14"/>
        <v>1305</v>
      </c>
      <c r="T54" s="9">
        <f t="shared" si="14"/>
        <v>800</v>
      </c>
      <c r="U54" s="9">
        <f t="shared" si="14"/>
        <v>0</v>
      </c>
      <c r="V54" s="9">
        <f t="shared" si="14"/>
        <v>0</v>
      </c>
      <c r="W54" s="9">
        <f t="shared" si="14"/>
        <v>4233</v>
      </c>
      <c r="X54" s="63">
        <v>11253</v>
      </c>
      <c r="Y54" s="58">
        <f t="shared" si="0"/>
        <v>218078</v>
      </c>
      <c r="Z54" s="11"/>
      <c r="AA54" s="9"/>
      <c r="AB54" s="68">
        <f>Y54+AA54</f>
        <v>218078</v>
      </c>
    </row>
    <row r="55" spans="1:28" ht="12.75">
      <c r="A55" s="10"/>
      <c r="B55" s="9"/>
      <c r="C55" s="9"/>
      <c r="D55" s="47"/>
      <c r="E55" s="55">
        <f t="shared" si="1"/>
        <v>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63"/>
      <c r="Y55" s="58">
        <f t="shared" si="0"/>
        <v>0</v>
      </c>
      <c r="Z55" s="11"/>
      <c r="AA55" s="9"/>
      <c r="AB55" s="68"/>
    </row>
    <row r="56" spans="1:29" ht="12.75">
      <c r="A56" s="8" t="s">
        <v>46</v>
      </c>
      <c r="B56" s="14"/>
      <c r="C56" s="14"/>
      <c r="D56" s="49"/>
      <c r="E56" s="55">
        <f t="shared" si="1"/>
        <v>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63"/>
      <c r="Y56" s="58">
        <f t="shared" si="0"/>
        <v>0</v>
      </c>
      <c r="Z56" s="9"/>
      <c r="AA56" s="9"/>
      <c r="AB56" s="68"/>
      <c r="AC56">
        <v>9</v>
      </c>
    </row>
    <row r="57" spans="1:28" ht="12.75">
      <c r="A57" s="10" t="s">
        <v>68</v>
      </c>
      <c r="B57" s="11">
        <v>44394</v>
      </c>
      <c r="C57" s="9">
        <v>644</v>
      </c>
      <c r="D57" s="47">
        <f>B57+C57</f>
        <v>45038</v>
      </c>
      <c r="E57" s="55">
        <f t="shared" si="1"/>
        <v>2460</v>
      </c>
      <c r="F57" s="9">
        <v>1600</v>
      </c>
      <c r="G57" s="9"/>
      <c r="H57" s="9">
        <v>80</v>
      </c>
      <c r="I57" s="9"/>
      <c r="J57" s="9"/>
      <c r="K57" s="9"/>
      <c r="L57" s="9"/>
      <c r="M57" s="9">
        <v>400</v>
      </c>
      <c r="N57" s="9"/>
      <c r="O57" s="9"/>
      <c r="P57" s="9">
        <f>Q57+R57+S57+T57</f>
        <v>0</v>
      </c>
      <c r="Q57" s="9"/>
      <c r="R57" s="9"/>
      <c r="S57" s="9"/>
      <c r="T57" s="9"/>
      <c r="U57" s="9"/>
      <c r="V57" s="9"/>
      <c r="W57" s="9">
        <v>380</v>
      </c>
      <c r="X57" s="63"/>
      <c r="Y57" s="58">
        <f t="shared" si="0"/>
        <v>47498</v>
      </c>
      <c r="Z57" s="9"/>
      <c r="AA57" s="9">
        <v>0</v>
      </c>
      <c r="AB57" s="68">
        <f>Y57+AA57</f>
        <v>47498</v>
      </c>
    </row>
    <row r="58" spans="1:28" ht="12.75">
      <c r="A58" s="10" t="s">
        <v>69</v>
      </c>
      <c r="B58" s="11">
        <v>52086</v>
      </c>
      <c r="C58" s="9">
        <v>755</v>
      </c>
      <c r="D58" s="47">
        <f>B58+C58</f>
        <v>52841</v>
      </c>
      <c r="E58" s="55">
        <f t="shared" si="1"/>
        <v>2814</v>
      </c>
      <c r="F58" s="9">
        <v>1400</v>
      </c>
      <c r="G58" s="9"/>
      <c r="H58" s="9">
        <v>80</v>
      </c>
      <c r="I58" s="9"/>
      <c r="J58" s="9"/>
      <c r="K58" s="9"/>
      <c r="L58" s="9"/>
      <c r="M58" s="9">
        <v>450</v>
      </c>
      <c r="N58" s="9"/>
      <c r="O58" s="9"/>
      <c r="P58" s="9">
        <f>Q58+R58+S58+T58</f>
        <v>70</v>
      </c>
      <c r="Q58" s="9"/>
      <c r="R58" s="9"/>
      <c r="S58" s="9"/>
      <c r="T58" s="9">
        <v>70</v>
      </c>
      <c r="U58" s="9"/>
      <c r="V58" s="9"/>
      <c r="W58" s="9">
        <v>814</v>
      </c>
      <c r="X58" s="63"/>
      <c r="Y58" s="58">
        <f t="shared" si="0"/>
        <v>55655</v>
      </c>
      <c r="Z58" s="9"/>
      <c r="AA58" s="9">
        <v>6000</v>
      </c>
      <c r="AB58" s="68">
        <f>Y58+AA58</f>
        <v>61655</v>
      </c>
    </row>
    <row r="59" spans="1:28" ht="12.75">
      <c r="A59" s="10"/>
      <c r="B59" s="11">
        <v>0</v>
      </c>
      <c r="C59" s="9">
        <v>0</v>
      </c>
      <c r="D59" s="47"/>
      <c r="E59" s="55">
        <f t="shared" si="1"/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f>Q59+R59+S59</f>
        <v>0</v>
      </c>
      <c r="Q59" s="9"/>
      <c r="R59" s="9"/>
      <c r="S59" s="9"/>
      <c r="T59" s="9"/>
      <c r="U59" s="9"/>
      <c r="V59" s="9"/>
      <c r="W59" s="9"/>
      <c r="X59" s="63"/>
      <c r="Y59" s="58">
        <f t="shared" si="0"/>
        <v>0</v>
      </c>
      <c r="Z59" s="9"/>
      <c r="AA59" s="9"/>
      <c r="AB59" s="68">
        <f>Y59+AA59</f>
        <v>0</v>
      </c>
    </row>
    <row r="60" spans="1:28" ht="12.75">
      <c r="A60" s="10" t="s">
        <v>4</v>
      </c>
      <c r="B60" s="9">
        <f>ROUND((B58*97)/100,0)+1487</f>
        <v>52010</v>
      </c>
      <c r="C60" s="9">
        <f>ROUND((B60*1.45)/100,0)</f>
        <v>754</v>
      </c>
      <c r="D60" s="47">
        <f>B60+C60</f>
        <v>52764</v>
      </c>
      <c r="E60" s="55">
        <f t="shared" si="1"/>
        <v>2330</v>
      </c>
      <c r="F60" s="9">
        <v>1400</v>
      </c>
      <c r="G60" s="9">
        <f>G57</f>
        <v>0</v>
      </c>
      <c r="H60" s="9">
        <v>80</v>
      </c>
      <c r="I60" s="9"/>
      <c r="J60" s="9"/>
      <c r="K60" s="9"/>
      <c r="L60" s="9"/>
      <c r="M60" s="9">
        <v>400</v>
      </c>
      <c r="N60" s="9">
        <f>N57</f>
        <v>0</v>
      </c>
      <c r="O60" s="9">
        <f>O57</f>
        <v>0</v>
      </c>
      <c r="P60" s="9">
        <f>SUM(Q60:T60)</f>
        <v>70</v>
      </c>
      <c r="Q60" s="9">
        <f>+Q57</f>
        <v>0</v>
      </c>
      <c r="R60" s="9">
        <f>+R57</f>
        <v>0</v>
      </c>
      <c r="S60" s="9">
        <f>+S57</f>
        <v>0</v>
      </c>
      <c r="T60" s="9">
        <v>70</v>
      </c>
      <c r="U60" s="9">
        <f>+U57</f>
        <v>0</v>
      </c>
      <c r="V60" s="9">
        <f>+V57</f>
        <v>0</v>
      </c>
      <c r="W60" s="9">
        <f>+W57</f>
        <v>380</v>
      </c>
      <c r="X60" s="63">
        <f>X57</f>
        <v>0</v>
      </c>
      <c r="Y60" s="58">
        <f t="shared" si="0"/>
        <v>55094</v>
      </c>
      <c r="Z60" s="11"/>
      <c r="AA60" s="9"/>
      <c r="AB60" s="68">
        <f>Y60+AA60</f>
        <v>55094</v>
      </c>
    </row>
    <row r="61" spans="1:28" ht="12.75">
      <c r="A61" s="9"/>
      <c r="B61" s="9"/>
      <c r="C61" s="9"/>
      <c r="D61" s="47"/>
      <c r="E61" s="55">
        <f t="shared" si="1"/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63"/>
      <c r="Y61" s="58">
        <f t="shared" si="0"/>
        <v>0</v>
      </c>
      <c r="Z61" s="9"/>
      <c r="AA61" s="9"/>
      <c r="AB61" s="68"/>
    </row>
    <row r="62" spans="1:29" ht="12.75">
      <c r="A62" s="8" t="s">
        <v>47</v>
      </c>
      <c r="B62" s="24"/>
      <c r="C62" s="24"/>
      <c r="D62" s="47"/>
      <c r="E62" s="55">
        <f t="shared" si="1"/>
        <v>0</v>
      </c>
      <c r="F62" s="9"/>
      <c r="G62" s="9"/>
      <c r="H62" s="9"/>
      <c r="I62" s="9"/>
      <c r="J62" s="9"/>
      <c r="K62" s="13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63"/>
      <c r="Y62" s="58">
        <f t="shared" si="0"/>
        <v>0</v>
      </c>
      <c r="Z62" s="9"/>
      <c r="AA62" s="9"/>
      <c r="AB62" s="68"/>
      <c r="AC62">
        <v>10</v>
      </c>
    </row>
    <row r="63" spans="1:28" ht="12.75">
      <c r="A63" s="10" t="s">
        <v>68</v>
      </c>
      <c r="B63" s="11">
        <v>77318</v>
      </c>
      <c r="C63" s="9">
        <v>1121</v>
      </c>
      <c r="D63" s="47">
        <f>B63+C63</f>
        <v>78439</v>
      </c>
      <c r="E63" s="55">
        <f t="shared" si="1"/>
        <v>17116</v>
      </c>
      <c r="F63" s="9"/>
      <c r="G63" s="9"/>
      <c r="H63" s="9">
        <v>192</v>
      </c>
      <c r="I63" s="9"/>
      <c r="J63" s="9"/>
      <c r="K63" s="9"/>
      <c r="L63" s="9"/>
      <c r="M63" s="9">
        <v>200</v>
      </c>
      <c r="N63" s="9"/>
      <c r="O63" s="9"/>
      <c r="P63" s="9">
        <f>Q63+R63+S63+T63</f>
        <v>15300</v>
      </c>
      <c r="Q63" s="13">
        <v>10000</v>
      </c>
      <c r="R63" s="9">
        <v>3700</v>
      </c>
      <c r="S63" s="9">
        <v>1200</v>
      </c>
      <c r="T63" s="9">
        <v>400</v>
      </c>
      <c r="U63" s="9"/>
      <c r="V63" s="9"/>
      <c r="W63" s="9">
        <v>1424</v>
      </c>
      <c r="X63" s="63"/>
      <c r="Y63" s="58">
        <f t="shared" si="0"/>
        <v>95555</v>
      </c>
      <c r="Z63" s="9"/>
      <c r="AA63" s="9"/>
      <c r="AB63" s="68">
        <f>Y63+AA63</f>
        <v>95555</v>
      </c>
    </row>
    <row r="64" spans="1:28" ht="12.75">
      <c r="A64" s="10" t="s">
        <v>69</v>
      </c>
      <c r="B64" s="15">
        <v>86468</v>
      </c>
      <c r="C64" s="9">
        <v>1254</v>
      </c>
      <c r="D64" s="47">
        <f>B64+C64</f>
        <v>87722</v>
      </c>
      <c r="E64" s="55">
        <f t="shared" si="1"/>
        <v>23860</v>
      </c>
      <c r="F64" s="9"/>
      <c r="G64" s="9"/>
      <c r="H64" s="9">
        <v>60</v>
      </c>
      <c r="I64" s="9"/>
      <c r="J64" s="9"/>
      <c r="K64" s="9"/>
      <c r="L64" s="9"/>
      <c r="M64" s="9">
        <v>200</v>
      </c>
      <c r="N64" s="9"/>
      <c r="O64" s="9"/>
      <c r="P64" s="9">
        <f>Q64+R64+S64+T64</f>
        <v>19399</v>
      </c>
      <c r="Q64" s="13">
        <v>15036</v>
      </c>
      <c r="R64" s="9">
        <v>3410</v>
      </c>
      <c r="S64" s="9">
        <v>551</v>
      </c>
      <c r="T64" s="9">
        <v>402</v>
      </c>
      <c r="U64" s="9"/>
      <c r="V64" s="9"/>
      <c r="W64" s="9">
        <v>4201</v>
      </c>
      <c r="X64" s="63">
        <v>5633</v>
      </c>
      <c r="Y64" s="58">
        <f t="shared" si="0"/>
        <v>117215</v>
      </c>
      <c r="Z64" s="9"/>
      <c r="AA64" s="9">
        <v>6000</v>
      </c>
      <c r="AB64" s="68">
        <f>Y64+AA64</f>
        <v>123215</v>
      </c>
    </row>
    <row r="65" spans="1:28" ht="12.75">
      <c r="A65" s="10"/>
      <c r="B65" s="11">
        <v>0</v>
      </c>
      <c r="C65" s="9">
        <v>0</v>
      </c>
      <c r="D65" s="47"/>
      <c r="E65" s="55">
        <f t="shared" si="1"/>
        <v>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f>Q65+R65+S65+T65</f>
        <v>0</v>
      </c>
      <c r="Q65" s="13"/>
      <c r="R65" s="9"/>
      <c r="S65" s="9">
        <v>0</v>
      </c>
      <c r="T65" s="9"/>
      <c r="U65" s="9"/>
      <c r="V65" s="9"/>
      <c r="W65" s="9"/>
      <c r="X65" s="63"/>
      <c r="Y65" s="58">
        <f t="shared" si="0"/>
        <v>0</v>
      </c>
      <c r="Z65" s="9"/>
      <c r="AA65" s="9"/>
      <c r="AB65" s="68">
        <f>Y65+AA65</f>
        <v>0</v>
      </c>
    </row>
    <row r="66" spans="1:28" ht="12.75">
      <c r="A66" s="10" t="s">
        <v>4</v>
      </c>
      <c r="B66" s="9">
        <f>ROUND((B64*97)/100,0)+807+15638</f>
        <v>100319</v>
      </c>
      <c r="C66" s="9">
        <f>ROUND((B66*1.45)/100,0)</f>
        <v>1455</v>
      </c>
      <c r="D66" s="47">
        <f>B66+C66</f>
        <v>101774</v>
      </c>
      <c r="E66" s="55">
        <f t="shared" si="1"/>
        <v>17116</v>
      </c>
      <c r="F66" s="9">
        <f>F63</f>
        <v>0</v>
      </c>
      <c r="G66" s="9">
        <f aca="true" t="shared" si="15" ref="G66:O66">G63</f>
        <v>0</v>
      </c>
      <c r="H66" s="9">
        <v>60</v>
      </c>
      <c r="I66" s="9">
        <f>I64</f>
        <v>0</v>
      </c>
      <c r="J66" s="9">
        <f t="shared" si="15"/>
        <v>0</v>
      </c>
      <c r="K66" s="9">
        <f t="shared" si="15"/>
        <v>0</v>
      </c>
      <c r="L66" s="9"/>
      <c r="M66" s="9">
        <v>200</v>
      </c>
      <c r="N66" s="9">
        <f t="shared" si="15"/>
        <v>0</v>
      </c>
      <c r="O66" s="9">
        <f t="shared" si="15"/>
        <v>0</v>
      </c>
      <c r="P66" s="9">
        <f>SUM(Q66:T66)</f>
        <v>15432</v>
      </c>
      <c r="Q66" s="9">
        <v>10132</v>
      </c>
      <c r="R66" s="9">
        <f aca="true" t="shared" si="16" ref="R66:W66">+R63</f>
        <v>3700</v>
      </c>
      <c r="S66" s="9">
        <f t="shared" si="16"/>
        <v>1200</v>
      </c>
      <c r="T66" s="9">
        <f t="shared" si="16"/>
        <v>400</v>
      </c>
      <c r="U66" s="9">
        <f t="shared" si="16"/>
        <v>0</v>
      </c>
      <c r="V66" s="9">
        <f t="shared" si="16"/>
        <v>0</v>
      </c>
      <c r="W66" s="9">
        <f t="shared" si="16"/>
        <v>1424</v>
      </c>
      <c r="X66" s="63">
        <v>3491</v>
      </c>
      <c r="Y66" s="58">
        <f t="shared" si="0"/>
        <v>122381</v>
      </c>
      <c r="Z66" s="11"/>
      <c r="AA66" s="9"/>
      <c r="AB66" s="68">
        <f>Y66+AA66</f>
        <v>122381</v>
      </c>
    </row>
    <row r="67" spans="1:28" ht="12.75">
      <c r="A67" s="9"/>
      <c r="B67" s="9"/>
      <c r="C67" s="9"/>
      <c r="D67" s="47"/>
      <c r="E67" s="55">
        <f t="shared" si="1"/>
        <v>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63"/>
      <c r="Y67" s="58">
        <f t="shared" si="0"/>
        <v>0</v>
      </c>
      <c r="Z67" s="9"/>
      <c r="AA67" s="9"/>
      <c r="AB67" s="68"/>
    </row>
    <row r="68" spans="1:29" ht="12.75">
      <c r="A68" s="8" t="s">
        <v>31</v>
      </c>
      <c r="B68" s="24"/>
      <c r="C68" s="20"/>
      <c r="D68" s="47"/>
      <c r="E68" s="55">
        <f t="shared" si="1"/>
        <v>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63"/>
      <c r="Y68" s="58">
        <f t="shared" si="0"/>
        <v>0</v>
      </c>
      <c r="Z68" s="9"/>
      <c r="AA68" s="9"/>
      <c r="AB68" s="68"/>
      <c r="AC68">
        <v>11</v>
      </c>
    </row>
    <row r="69" spans="1:28" ht="12.75">
      <c r="A69" s="10" t="s">
        <v>68</v>
      </c>
      <c r="B69" s="11">
        <v>42885</v>
      </c>
      <c r="C69" s="9">
        <v>622</v>
      </c>
      <c r="D69" s="47">
        <f>B69+C69</f>
        <v>43507</v>
      </c>
      <c r="E69" s="55">
        <f t="shared" si="1"/>
        <v>3221</v>
      </c>
      <c r="F69" s="9"/>
      <c r="G69" s="9"/>
      <c r="H69" s="9">
        <v>240</v>
      </c>
      <c r="I69" s="9"/>
      <c r="J69" s="9"/>
      <c r="K69" s="9"/>
      <c r="L69" s="9"/>
      <c r="M69" s="9"/>
      <c r="N69" s="9"/>
      <c r="O69" s="9">
        <v>0</v>
      </c>
      <c r="P69" s="9">
        <f>Q69+R69+S69+T69</f>
        <v>0</v>
      </c>
      <c r="Q69" s="9"/>
      <c r="R69" s="9"/>
      <c r="S69" s="9"/>
      <c r="T69" s="9"/>
      <c r="U69" s="9"/>
      <c r="V69" s="9"/>
      <c r="W69" s="9">
        <v>2981</v>
      </c>
      <c r="X69" s="63"/>
      <c r="Y69" s="58">
        <f t="shared" si="0"/>
        <v>46728</v>
      </c>
      <c r="Z69" s="9"/>
      <c r="AA69" s="9"/>
      <c r="AB69" s="68">
        <f>Y69+AA69</f>
        <v>46728</v>
      </c>
    </row>
    <row r="70" spans="1:28" ht="12.75">
      <c r="A70" s="10" t="s">
        <v>69</v>
      </c>
      <c r="B70" s="11">
        <v>35322</v>
      </c>
      <c r="C70" s="9">
        <v>512</v>
      </c>
      <c r="D70" s="47">
        <f>B70+C70</f>
        <v>35834</v>
      </c>
      <c r="E70" s="55">
        <f t="shared" si="1"/>
        <v>3500</v>
      </c>
      <c r="F70" s="9"/>
      <c r="G70" s="9"/>
      <c r="H70" s="9">
        <v>250</v>
      </c>
      <c r="I70" s="9"/>
      <c r="J70" s="9"/>
      <c r="K70" s="9"/>
      <c r="L70" s="9"/>
      <c r="M70" s="9"/>
      <c r="N70" s="9">
        <v>250</v>
      </c>
      <c r="O70" s="9"/>
      <c r="P70" s="9">
        <f>Q70+R70+S70+T70</f>
        <v>0</v>
      </c>
      <c r="Q70" s="9"/>
      <c r="R70" s="9"/>
      <c r="S70" s="9"/>
      <c r="T70" s="9"/>
      <c r="U70" s="9"/>
      <c r="V70" s="9"/>
      <c r="W70" s="9">
        <v>3000</v>
      </c>
      <c r="X70" s="63"/>
      <c r="Y70" s="58">
        <f t="shared" si="0"/>
        <v>39334</v>
      </c>
      <c r="Z70" s="9"/>
      <c r="AA70" s="9"/>
      <c r="AB70" s="68">
        <f>Y70+AA70</f>
        <v>39334</v>
      </c>
    </row>
    <row r="71" spans="1:28" ht="12.75">
      <c r="A71" s="10"/>
      <c r="B71" s="11">
        <v>0</v>
      </c>
      <c r="C71" s="9">
        <v>0</v>
      </c>
      <c r="D71" s="47"/>
      <c r="E71" s="55">
        <f t="shared" si="1"/>
        <v>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>
        <f>Q71+R71+S71+T71</f>
        <v>0</v>
      </c>
      <c r="Q71" s="9"/>
      <c r="R71" s="9"/>
      <c r="S71" s="9"/>
      <c r="T71" s="9"/>
      <c r="U71" s="9"/>
      <c r="V71" s="9"/>
      <c r="W71" s="9"/>
      <c r="X71" s="63"/>
      <c r="Y71" s="58">
        <f t="shared" si="0"/>
        <v>0</v>
      </c>
      <c r="Z71" s="9"/>
      <c r="AA71" s="9"/>
      <c r="AB71" s="68">
        <f>Y71+AA71</f>
        <v>0</v>
      </c>
    </row>
    <row r="72" spans="1:28" ht="12.75">
      <c r="A72" s="10" t="s">
        <v>4</v>
      </c>
      <c r="B72" s="9">
        <f>ROUND((B70*97)/100,0)+855+17537</f>
        <v>52654</v>
      </c>
      <c r="C72" s="9">
        <f>ROUND((B72*1.45)/100,0)</f>
        <v>763</v>
      </c>
      <c r="D72" s="47">
        <f>B72+C72</f>
        <v>53417</v>
      </c>
      <c r="E72" s="55">
        <f t="shared" si="1"/>
        <v>3481</v>
      </c>
      <c r="F72" s="9">
        <f>F69</f>
        <v>0</v>
      </c>
      <c r="G72" s="9">
        <f aca="true" t="shared" si="17" ref="G72:O72">G69</f>
        <v>0</v>
      </c>
      <c r="H72" s="9">
        <v>250</v>
      </c>
      <c r="I72" s="9">
        <f>I70</f>
        <v>0</v>
      </c>
      <c r="J72" s="9">
        <f t="shared" si="17"/>
        <v>0</v>
      </c>
      <c r="K72" s="9">
        <f t="shared" si="17"/>
        <v>0</v>
      </c>
      <c r="L72" s="9"/>
      <c r="M72" s="9">
        <f t="shared" si="17"/>
        <v>0</v>
      </c>
      <c r="N72" s="9">
        <v>250</v>
      </c>
      <c r="O72" s="9">
        <f t="shared" si="17"/>
        <v>0</v>
      </c>
      <c r="P72" s="9">
        <f>SUM(Q72:T72)</f>
        <v>0</v>
      </c>
      <c r="Q72" s="9">
        <f aca="true" t="shared" si="18" ref="Q72:X72">Q69</f>
        <v>0</v>
      </c>
      <c r="R72" s="9">
        <f t="shared" si="18"/>
        <v>0</v>
      </c>
      <c r="S72" s="9">
        <f t="shared" si="18"/>
        <v>0</v>
      </c>
      <c r="T72" s="9">
        <f t="shared" si="18"/>
        <v>0</v>
      </c>
      <c r="U72" s="9">
        <f>+U69</f>
        <v>0</v>
      </c>
      <c r="V72" s="9">
        <f>+V69</f>
        <v>0</v>
      </c>
      <c r="W72" s="9">
        <f>+W69</f>
        <v>2981</v>
      </c>
      <c r="X72" s="63">
        <f t="shared" si="18"/>
        <v>0</v>
      </c>
      <c r="Y72" s="58">
        <f aca="true" t="shared" si="19" ref="Y72:Y135">D72+E72+X72</f>
        <v>56898</v>
      </c>
      <c r="Z72" s="11"/>
      <c r="AA72" s="9"/>
      <c r="AB72" s="68">
        <f>Y72+AA72</f>
        <v>56898</v>
      </c>
    </row>
    <row r="73" spans="1:28" ht="12.75">
      <c r="A73" s="16"/>
      <c r="B73" s="9"/>
      <c r="C73" s="9"/>
      <c r="D73" s="47"/>
      <c r="E73" s="55">
        <f aca="true" t="shared" si="20" ref="E73:E136">F73+G73+H73+I73+J73+K73+L73+M73+N73+O73+P73+U73+V73+W73</f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63"/>
      <c r="Y73" s="58">
        <f t="shared" si="19"/>
        <v>0</v>
      </c>
      <c r="Z73" s="9"/>
      <c r="AA73" s="9"/>
      <c r="AB73" s="68"/>
    </row>
    <row r="74" spans="1:29" ht="12.75">
      <c r="A74" s="8" t="s">
        <v>32</v>
      </c>
      <c r="B74" s="20"/>
      <c r="C74" s="9"/>
      <c r="D74" s="47"/>
      <c r="E74" s="55">
        <f t="shared" si="20"/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63"/>
      <c r="Y74" s="58">
        <f t="shared" si="19"/>
        <v>0</v>
      </c>
      <c r="Z74" s="9"/>
      <c r="AA74" s="9"/>
      <c r="AB74" s="68"/>
      <c r="AC74">
        <v>12</v>
      </c>
    </row>
    <row r="75" spans="1:28" ht="12.75">
      <c r="A75" s="10" t="s">
        <v>68</v>
      </c>
      <c r="B75" s="20">
        <v>529185</v>
      </c>
      <c r="C75" s="9">
        <v>7673</v>
      </c>
      <c r="D75" s="47">
        <f>B75+C75</f>
        <v>536858</v>
      </c>
      <c r="E75" s="55">
        <f t="shared" si="20"/>
        <v>145212</v>
      </c>
      <c r="F75" s="9"/>
      <c r="G75" s="9"/>
      <c r="H75" s="9">
        <v>2000</v>
      </c>
      <c r="I75" s="9">
        <v>2000</v>
      </c>
      <c r="J75" s="9"/>
      <c r="K75" s="9"/>
      <c r="L75" s="9"/>
      <c r="M75" s="9"/>
      <c r="N75" s="9">
        <v>400</v>
      </c>
      <c r="O75" s="9"/>
      <c r="P75" s="9">
        <f>Q75+R75+S75+T75</f>
        <v>118500</v>
      </c>
      <c r="Q75" s="9">
        <v>88100</v>
      </c>
      <c r="R75" s="9">
        <v>21000</v>
      </c>
      <c r="S75" s="9">
        <v>7000</v>
      </c>
      <c r="T75" s="9">
        <v>2400</v>
      </c>
      <c r="U75" s="9"/>
      <c r="V75" s="9"/>
      <c r="W75" s="9">
        <v>22312</v>
      </c>
      <c r="X75" s="63">
        <v>10389</v>
      </c>
      <c r="Y75" s="58">
        <f t="shared" si="19"/>
        <v>692459</v>
      </c>
      <c r="Z75" s="9"/>
      <c r="AA75" s="9"/>
      <c r="AB75" s="68">
        <f>Y75+AA75</f>
        <v>692459</v>
      </c>
    </row>
    <row r="76" spans="1:35" ht="12.75">
      <c r="A76" s="10" t="s">
        <v>69</v>
      </c>
      <c r="B76" s="15">
        <v>548275</v>
      </c>
      <c r="C76" s="9">
        <v>7950</v>
      </c>
      <c r="D76" s="47">
        <f>B76+C76</f>
        <v>556225</v>
      </c>
      <c r="E76" s="55">
        <f t="shared" si="20"/>
        <v>257641</v>
      </c>
      <c r="F76" s="9"/>
      <c r="G76" s="9">
        <v>980</v>
      </c>
      <c r="H76" s="9">
        <v>1600</v>
      </c>
      <c r="I76" s="9">
        <v>2200</v>
      </c>
      <c r="J76" s="9">
        <v>1000</v>
      </c>
      <c r="K76" s="9"/>
      <c r="L76" s="9"/>
      <c r="M76" s="9">
        <v>100000</v>
      </c>
      <c r="N76" s="9">
        <v>1000</v>
      </c>
      <c r="O76" s="9"/>
      <c r="P76" s="9">
        <f>Q76+R76+S76+T76</f>
        <v>121661</v>
      </c>
      <c r="Q76" s="9">
        <v>89398</v>
      </c>
      <c r="R76" s="9">
        <v>22525</v>
      </c>
      <c r="S76" s="9">
        <v>7122</v>
      </c>
      <c r="T76" s="9">
        <v>2616</v>
      </c>
      <c r="U76" s="9">
        <v>5000</v>
      </c>
      <c r="V76" s="9"/>
      <c r="W76" s="9">
        <v>24200</v>
      </c>
      <c r="X76" s="63">
        <v>10280</v>
      </c>
      <c r="Y76" s="58">
        <f t="shared" si="19"/>
        <v>824146</v>
      </c>
      <c r="Z76" s="9"/>
      <c r="AA76" s="9">
        <v>11700</v>
      </c>
      <c r="AB76" s="68">
        <f>Y76+AA76</f>
        <v>835846</v>
      </c>
      <c r="AC76" s="26"/>
      <c r="AD76" s="25"/>
      <c r="AE76" s="25" t="s">
        <v>45</v>
      </c>
      <c r="AF76" s="25"/>
      <c r="AG76" s="25"/>
      <c r="AH76" s="25"/>
      <c r="AI76" s="25"/>
    </row>
    <row r="77" spans="1:28" ht="12.75">
      <c r="A77" s="10"/>
      <c r="B77" s="11">
        <v>0</v>
      </c>
      <c r="C77" s="9">
        <v>0</v>
      </c>
      <c r="D77" s="47"/>
      <c r="E77" s="55">
        <f t="shared" si="20"/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f>Q77+R77+S77+T77</f>
        <v>0</v>
      </c>
      <c r="Q77" s="9"/>
      <c r="R77" s="9"/>
      <c r="S77" s="9"/>
      <c r="T77" s="9"/>
      <c r="U77" s="9"/>
      <c r="V77" s="9"/>
      <c r="W77" s="9"/>
      <c r="X77" s="63"/>
      <c r="Y77" s="58">
        <f t="shared" si="19"/>
        <v>0</v>
      </c>
      <c r="Z77" s="9"/>
      <c r="AA77" s="9"/>
      <c r="AB77" s="68">
        <f>Y77+AA77</f>
        <v>0</v>
      </c>
    </row>
    <row r="78" spans="1:28" ht="12.75">
      <c r="A78" s="10" t="s">
        <v>4</v>
      </c>
      <c r="B78" s="9">
        <f>ROUND((B76*97)/100,0)+11516+10063</f>
        <v>553406</v>
      </c>
      <c r="C78" s="9">
        <f>ROUND((B78*1.45)/100,0)</f>
        <v>8024</v>
      </c>
      <c r="D78" s="47">
        <f>B78+C78</f>
        <v>561430</v>
      </c>
      <c r="E78" s="55">
        <f t="shared" si="20"/>
        <v>135412</v>
      </c>
      <c r="F78" s="9">
        <f>F75</f>
        <v>0</v>
      </c>
      <c r="G78" s="9">
        <f aca="true" t="shared" si="21" ref="G78:M78">G75</f>
        <v>0</v>
      </c>
      <c r="H78" s="9">
        <v>1600</v>
      </c>
      <c r="I78" s="9">
        <v>2000</v>
      </c>
      <c r="J78" s="9">
        <f t="shared" si="21"/>
        <v>0</v>
      </c>
      <c r="K78" s="9">
        <f t="shared" si="21"/>
        <v>0</v>
      </c>
      <c r="L78" s="9"/>
      <c r="M78" s="9">
        <f t="shared" si="21"/>
        <v>0</v>
      </c>
      <c r="N78" s="9">
        <v>1000</v>
      </c>
      <c r="O78" s="9">
        <f>O75</f>
        <v>0</v>
      </c>
      <c r="P78" s="9">
        <f>SUM(Q78:T78)</f>
        <v>118500</v>
      </c>
      <c r="Q78" s="9">
        <f aca="true" t="shared" si="22" ref="Q78:V78">+Q75</f>
        <v>88100</v>
      </c>
      <c r="R78" s="9">
        <f t="shared" si="22"/>
        <v>21000</v>
      </c>
      <c r="S78" s="9">
        <f t="shared" si="22"/>
        <v>7000</v>
      </c>
      <c r="T78" s="9">
        <f t="shared" si="22"/>
        <v>2400</v>
      </c>
      <c r="U78" s="9">
        <f t="shared" si="22"/>
        <v>0</v>
      </c>
      <c r="V78" s="9">
        <f t="shared" si="22"/>
        <v>0</v>
      </c>
      <c r="W78" s="34">
        <v>12312</v>
      </c>
      <c r="X78" s="63">
        <v>10193</v>
      </c>
      <c r="Y78" s="58">
        <f t="shared" si="19"/>
        <v>707035</v>
      </c>
      <c r="Z78" s="11"/>
      <c r="AA78" s="9"/>
      <c r="AB78" s="68">
        <f>Y78+AA78</f>
        <v>707035</v>
      </c>
    </row>
    <row r="79" spans="1:28" ht="12.75">
      <c r="A79" s="16"/>
      <c r="B79" s="9"/>
      <c r="C79" s="9"/>
      <c r="D79" s="47"/>
      <c r="E79" s="55"/>
      <c r="F79" s="9"/>
      <c r="G79" s="9"/>
      <c r="H79" s="9"/>
      <c r="I79" s="9"/>
      <c r="J79" s="9"/>
      <c r="K79" s="9"/>
      <c r="L79" s="9"/>
      <c r="M79" s="9"/>
      <c r="N79" s="9"/>
      <c r="O79" s="9"/>
      <c r="P79" s="9" t="s">
        <v>78</v>
      </c>
      <c r="Q79" s="9"/>
      <c r="R79" s="9"/>
      <c r="S79" s="9"/>
      <c r="T79" s="9"/>
      <c r="U79" s="9"/>
      <c r="V79" s="9"/>
      <c r="W79" s="9"/>
      <c r="X79" s="63"/>
      <c r="Y79" s="58">
        <f t="shared" si="19"/>
        <v>0</v>
      </c>
      <c r="Z79" s="9"/>
      <c r="AA79" s="9"/>
      <c r="AB79" s="68"/>
    </row>
    <row r="80" spans="1:29" ht="12.75">
      <c r="A80" s="8" t="s">
        <v>12</v>
      </c>
      <c r="B80" s="9"/>
      <c r="C80" s="9"/>
      <c r="D80" s="47"/>
      <c r="E80" s="55">
        <f t="shared" si="20"/>
        <v>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63"/>
      <c r="Y80" s="58">
        <f t="shared" si="19"/>
        <v>0</v>
      </c>
      <c r="Z80" s="9"/>
      <c r="AA80" s="9"/>
      <c r="AB80" s="68"/>
      <c r="AC80">
        <v>13</v>
      </c>
    </row>
    <row r="81" spans="1:28" ht="12.75">
      <c r="A81" s="10" t="s">
        <v>68</v>
      </c>
      <c r="B81" s="11">
        <v>67968</v>
      </c>
      <c r="C81" s="9">
        <v>986</v>
      </c>
      <c r="D81" s="47">
        <f>B81+C81</f>
        <v>68954</v>
      </c>
      <c r="E81" s="55">
        <f t="shared" si="20"/>
        <v>16760</v>
      </c>
      <c r="F81" s="9">
        <v>3800</v>
      </c>
      <c r="G81" s="9"/>
      <c r="H81" s="9">
        <v>700</v>
      </c>
      <c r="I81" s="9"/>
      <c r="J81" s="9"/>
      <c r="K81" s="9"/>
      <c r="L81" s="9"/>
      <c r="M81" s="9"/>
      <c r="N81" s="9">
        <v>0</v>
      </c>
      <c r="O81" s="9">
        <v>0</v>
      </c>
      <c r="P81" s="9">
        <f>Q81+R81+S81+T81</f>
        <v>11877</v>
      </c>
      <c r="Q81" s="9">
        <v>7932</v>
      </c>
      <c r="R81" s="9">
        <v>1715</v>
      </c>
      <c r="S81" s="9">
        <v>1012</v>
      </c>
      <c r="T81" s="9">
        <v>1218</v>
      </c>
      <c r="U81" s="9"/>
      <c r="V81" s="9"/>
      <c r="W81" s="9">
        <v>383</v>
      </c>
      <c r="X81" s="63"/>
      <c r="Y81" s="58">
        <f t="shared" si="19"/>
        <v>85714</v>
      </c>
      <c r="Z81" s="9"/>
      <c r="AA81" s="9"/>
      <c r="AB81" s="68">
        <f>Y81+AA81</f>
        <v>85714</v>
      </c>
    </row>
    <row r="82" spans="1:28" ht="12.75">
      <c r="A82" s="10" t="s">
        <v>69</v>
      </c>
      <c r="B82" s="15">
        <v>75789</v>
      </c>
      <c r="C82" s="9">
        <v>1099</v>
      </c>
      <c r="D82" s="47">
        <f>B82+C82</f>
        <v>76888</v>
      </c>
      <c r="E82" s="55">
        <f t="shared" si="20"/>
        <v>31749</v>
      </c>
      <c r="F82" s="9">
        <v>3530</v>
      </c>
      <c r="G82" s="9">
        <v>56</v>
      </c>
      <c r="H82" s="9">
        <v>600</v>
      </c>
      <c r="I82" s="9"/>
      <c r="J82" s="9">
        <v>500</v>
      </c>
      <c r="K82" s="9"/>
      <c r="L82" s="9"/>
      <c r="M82" s="9">
        <v>10000</v>
      </c>
      <c r="N82" s="9">
        <v>300</v>
      </c>
      <c r="O82" s="9"/>
      <c r="P82" s="9">
        <f>Q82+R82+S82+T82</f>
        <v>11303</v>
      </c>
      <c r="Q82" s="9">
        <v>9253</v>
      </c>
      <c r="R82" s="9">
        <v>1348</v>
      </c>
      <c r="S82" s="9">
        <v>672</v>
      </c>
      <c r="T82" s="9">
        <v>30</v>
      </c>
      <c r="U82" s="9">
        <v>400</v>
      </c>
      <c r="V82" s="9"/>
      <c r="W82" s="9">
        <v>5060</v>
      </c>
      <c r="X82" s="63"/>
      <c r="Y82" s="58">
        <f t="shared" si="19"/>
        <v>108637</v>
      </c>
      <c r="Z82" s="9"/>
      <c r="AA82" s="9">
        <v>3000</v>
      </c>
      <c r="AB82" s="68">
        <f>Y82+AA82</f>
        <v>111637</v>
      </c>
    </row>
    <row r="83" spans="1:28" ht="12.75">
      <c r="A83" s="10"/>
      <c r="B83" s="11">
        <v>0</v>
      </c>
      <c r="C83" s="9">
        <v>0</v>
      </c>
      <c r="D83" s="47"/>
      <c r="E83" s="55">
        <f t="shared" si="20"/>
        <v>0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>
        <f>Q83+R83+S83+T83</f>
        <v>0</v>
      </c>
      <c r="Q83" s="9"/>
      <c r="R83" s="9"/>
      <c r="S83" s="9"/>
      <c r="T83" s="9"/>
      <c r="U83" s="9"/>
      <c r="V83" s="9"/>
      <c r="W83" s="9"/>
      <c r="X83" s="63"/>
      <c r="Y83" s="58">
        <f t="shared" si="19"/>
        <v>0</v>
      </c>
      <c r="Z83" s="11"/>
      <c r="AA83" s="9"/>
      <c r="AB83" s="68">
        <f>Y83+AA83</f>
        <v>0</v>
      </c>
    </row>
    <row r="84" spans="1:28" ht="12.75">
      <c r="A84" s="10" t="s">
        <v>4</v>
      </c>
      <c r="B84" s="9">
        <f>ROUND((B82*97)/100,0)+792</f>
        <v>74307</v>
      </c>
      <c r="C84" s="9">
        <f>ROUND((B84*1.45)/100,0)</f>
        <v>1077</v>
      </c>
      <c r="D84" s="47">
        <f>B84+C84</f>
        <v>75384</v>
      </c>
      <c r="E84" s="55">
        <f t="shared" si="20"/>
        <v>16690</v>
      </c>
      <c r="F84" s="9">
        <v>3530</v>
      </c>
      <c r="G84" s="9">
        <f>G81</f>
        <v>0</v>
      </c>
      <c r="H84" s="9">
        <v>600</v>
      </c>
      <c r="I84" s="9"/>
      <c r="J84" s="9">
        <f aca="true" t="shared" si="23" ref="J84:O84">J81</f>
        <v>0</v>
      </c>
      <c r="K84" s="9">
        <f t="shared" si="23"/>
        <v>0</v>
      </c>
      <c r="L84" s="9"/>
      <c r="M84" s="9">
        <f t="shared" si="23"/>
        <v>0</v>
      </c>
      <c r="N84" s="9">
        <v>300</v>
      </c>
      <c r="O84" s="9">
        <f t="shared" si="23"/>
        <v>0</v>
      </c>
      <c r="P84" s="9">
        <f>SUM(Q84:T84)</f>
        <v>11877</v>
      </c>
      <c r="Q84" s="9">
        <f aca="true" t="shared" si="24" ref="Q84:W84">+Q81</f>
        <v>7932</v>
      </c>
      <c r="R84" s="9">
        <f t="shared" si="24"/>
        <v>1715</v>
      </c>
      <c r="S84" s="9">
        <f t="shared" si="24"/>
        <v>1012</v>
      </c>
      <c r="T84" s="9">
        <f t="shared" si="24"/>
        <v>1218</v>
      </c>
      <c r="U84" s="9">
        <f t="shared" si="24"/>
        <v>0</v>
      </c>
      <c r="V84" s="9">
        <f t="shared" si="24"/>
        <v>0</v>
      </c>
      <c r="W84" s="9">
        <f t="shared" si="24"/>
        <v>383</v>
      </c>
      <c r="X84" s="63">
        <f>X82</f>
        <v>0</v>
      </c>
      <c r="Y84" s="58">
        <f t="shared" si="19"/>
        <v>92074</v>
      </c>
      <c r="Z84" s="11"/>
      <c r="AA84" s="9"/>
      <c r="AB84" s="68">
        <f>Y84+AA84</f>
        <v>92074</v>
      </c>
    </row>
    <row r="85" spans="1:28" ht="12.75">
      <c r="A85" s="10"/>
      <c r="B85" s="11"/>
      <c r="C85" s="11"/>
      <c r="D85" s="46"/>
      <c r="E85" s="55">
        <f t="shared" si="20"/>
        <v>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63"/>
      <c r="Y85" s="58">
        <f t="shared" si="19"/>
        <v>0</v>
      </c>
      <c r="Z85" s="9"/>
      <c r="AA85" s="9"/>
      <c r="AB85" s="68"/>
    </row>
    <row r="86" spans="1:29" ht="12.75">
      <c r="A86" s="8" t="s">
        <v>33</v>
      </c>
      <c r="B86" s="9"/>
      <c r="C86" s="9"/>
      <c r="D86" s="47"/>
      <c r="E86" s="55">
        <f t="shared" si="20"/>
        <v>0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3"/>
      <c r="R86" s="9"/>
      <c r="S86" s="9"/>
      <c r="T86" s="9"/>
      <c r="U86" s="9"/>
      <c r="V86" s="9"/>
      <c r="W86" s="9"/>
      <c r="X86" s="63"/>
      <c r="Y86" s="58">
        <f t="shared" si="19"/>
        <v>0</v>
      </c>
      <c r="Z86" s="9"/>
      <c r="AA86" s="9"/>
      <c r="AB86" s="68"/>
      <c r="AC86">
        <v>14</v>
      </c>
    </row>
    <row r="87" spans="1:28" ht="12.75">
      <c r="A87" s="10" t="s">
        <v>68</v>
      </c>
      <c r="B87" s="15">
        <v>266192</v>
      </c>
      <c r="C87" s="13">
        <v>3860</v>
      </c>
      <c r="D87" s="47">
        <f>B87+C87</f>
        <v>270052</v>
      </c>
      <c r="E87" s="55">
        <f t="shared" si="20"/>
        <v>60159</v>
      </c>
      <c r="F87" s="13"/>
      <c r="G87" s="13"/>
      <c r="H87" s="13">
        <v>700</v>
      </c>
      <c r="I87" s="13">
        <v>1500</v>
      </c>
      <c r="J87" s="13"/>
      <c r="K87" s="13"/>
      <c r="L87" s="13"/>
      <c r="M87" s="13">
        <v>3000</v>
      </c>
      <c r="N87" s="13">
        <v>240</v>
      </c>
      <c r="O87" s="13"/>
      <c r="P87" s="9">
        <f>Q87+R87+S87+T87</f>
        <v>47551</v>
      </c>
      <c r="Q87" s="9">
        <v>27774</v>
      </c>
      <c r="R87" s="13">
        <v>14534</v>
      </c>
      <c r="S87" s="13">
        <v>3297</v>
      </c>
      <c r="T87" s="13">
        <v>1946</v>
      </c>
      <c r="U87" s="13"/>
      <c r="V87" s="13"/>
      <c r="W87" s="13">
        <v>7168</v>
      </c>
      <c r="X87" s="63"/>
      <c r="Y87" s="58">
        <f t="shared" si="19"/>
        <v>330211</v>
      </c>
      <c r="Z87" s="13"/>
      <c r="AA87" s="13"/>
      <c r="AB87" s="68">
        <f>Y87+AA87</f>
        <v>330211</v>
      </c>
    </row>
    <row r="88" spans="1:28" ht="12.75">
      <c r="A88" s="10" t="s">
        <v>69</v>
      </c>
      <c r="B88" s="35">
        <v>303970</v>
      </c>
      <c r="C88" s="34">
        <v>4408</v>
      </c>
      <c r="D88" s="47">
        <f>B88+C88</f>
        <v>308378</v>
      </c>
      <c r="E88" s="55">
        <f t="shared" si="20"/>
        <v>87737</v>
      </c>
      <c r="F88" s="9"/>
      <c r="G88" s="9"/>
      <c r="H88" s="9">
        <v>700</v>
      </c>
      <c r="I88" s="13">
        <v>4320</v>
      </c>
      <c r="J88" s="9"/>
      <c r="K88" s="9"/>
      <c r="L88" s="13"/>
      <c r="M88" s="9">
        <v>18800</v>
      </c>
      <c r="N88" s="9">
        <v>240</v>
      </c>
      <c r="O88" s="9"/>
      <c r="P88" s="9">
        <f>Q88+R88+S88+T88</f>
        <v>51112</v>
      </c>
      <c r="Q88" s="9">
        <v>30596</v>
      </c>
      <c r="R88" s="9">
        <v>15535</v>
      </c>
      <c r="S88" s="9">
        <v>3035</v>
      </c>
      <c r="T88" s="9">
        <v>1946</v>
      </c>
      <c r="U88" s="9"/>
      <c r="V88" s="9"/>
      <c r="W88" s="9">
        <v>12565</v>
      </c>
      <c r="X88" s="63"/>
      <c r="Y88" s="58">
        <f t="shared" si="19"/>
        <v>396115</v>
      </c>
      <c r="Z88" s="9"/>
      <c r="AA88" s="9">
        <v>5000</v>
      </c>
      <c r="AB88" s="68">
        <f>Y88+AA88</f>
        <v>401115</v>
      </c>
    </row>
    <row r="89" spans="1:28" ht="12.75">
      <c r="A89" s="10"/>
      <c r="B89" s="11">
        <v>0</v>
      </c>
      <c r="C89" s="9">
        <v>0</v>
      </c>
      <c r="D89" s="47"/>
      <c r="E89" s="55">
        <f t="shared" si="20"/>
        <v>0</v>
      </c>
      <c r="F89" s="9"/>
      <c r="G89" s="9"/>
      <c r="H89" s="9"/>
      <c r="I89" s="13"/>
      <c r="J89" s="9"/>
      <c r="K89" s="9"/>
      <c r="L89" s="13"/>
      <c r="M89" s="9"/>
      <c r="N89" s="9"/>
      <c r="O89" s="9"/>
      <c r="P89" s="9">
        <f>Q89+R89+S89+T89</f>
        <v>0</v>
      </c>
      <c r="Q89" s="9"/>
      <c r="R89" s="9"/>
      <c r="S89" s="9"/>
      <c r="T89" s="9"/>
      <c r="U89" s="9"/>
      <c r="V89" s="9"/>
      <c r="W89" s="9"/>
      <c r="X89" s="63"/>
      <c r="Y89" s="58">
        <f t="shared" si="19"/>
        <v>0</v>
      </c>
      <c r="Z89" s="9"/>
      <c r="AA89" s="9"/>
      <c r="AB89" s="68">
        <f>Y89+AA89</f>
        <v>0</v>
      </c>
    </row>
    <row r="90" spans="1:28" ht="12.75">
      <c r="A90" s="10" t="s">
        <v>4</v>
      </c>
      <c r="B90" s="9">
        <f>ROUND((B88*97)/100,0)+5909+2840</f>
        <v>303600</v>
      </c>
      <c r="C90" s="9">
        <f>ROUND((B90*1.45)/100,0)</f>
        <v>4402</v>
      </c>
      <c r="D90" s="47">
        <f>B90+C90</f>
        <v>308002</v>
      </c>
      <c r="E90" s="55">
        <f t="shared" si="20"/>
        <v>62659</v>
      </c>
      <c r="F90" s="9">
        <f>F87</f>
        <v>0</v>
      </c>
      <c r="G90" s="9">
        <f>G87</f>
        <v>0</v>
      </c>
      <c r="H90" s="9">
        <v>700</v>
      </c>
      <c r="I90" s="9">
        <v>1500</v>
      </c>
      <c r="J90" s="9">
        <f>J87</f>
        <v>0</v>
      </c>
      <c r="K90" s="9">
        <f>K87</f>
        <v>0</v>
      </c>
      <c r="L90" s="9"/>
      <c r="M90" s="9">
        <v>3000</v>
      </c>
      <c r="N90" s="9">
        <v>240</v>
      </c>
      <c r="O90" s="9">
        <f>O87</f>
        <v>0</v>
      </c>
      <c r="P90" s="9">
        <f>SUM(Q90:T90)</f>
        <v>47551</v>
      </c>
      <c r="Q90" s="9">
        <f aca="true" t="shared" si="25" ref="Q90:V90">+Q87</f>
        <v>27774</v>
      </c>
      <c r="R90" s="9">
        <f t="shared" si="25"/>
        <v>14534</v>
      </c>
      <c r="S90" s="9">
        <f t="shared" si="25"/>
        <v>3297</v>
      </c>
      <c r="T90" s="9">
        <f t="shared" si="25"/>
        <v>1946</v>
      </c>
      <c r="U90" s="9">
        <f t="shared" si="25"/>
        <v>0</v>
      </c>
      <c r="V90" s="9">
        <f t="shared" si="25"/>
        <v>0</v>
      </c>
      <c r="W90" s="9">
        <f>+W87+2500</f>
        <v>9668</v>
      </c>
      <c r="X90" s="63">
        <f>X88</f>
        <v>0</v>
      </c>
      <c r="Y90" s="58">
        <f t="shared" si="19"/>
        <v>370661</v>
      </c>
      <c r="Z90" s="11"/>
      <c r="AA90" s="9"/>
      <c r="AB90" s="68">
        <f>Y90+AA90</f>
        <v>370661</v>
      </c>
    </row>
    <row r="91" spans="1:28" ht="12.75">
      <c r="A91" s="10"/>
      <c r="B91" s="11"/>
      <c r="C91" s="11"/>
      <c r="D91" s="46"/>
      <c r="E91" s="55">
        <f t="shared" si="20"/>
        <v>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63"/>
      <c r="Y91" s="58">
        <f t="shared" si="19"/>
        <v>0</v>
      </c>
      <c r="Z91" s="9"/>
      <c r="AA91" s="9"/>
      <c r="AB91" s="68"/>
    </row>
    <row r="92" spans="1:29" ht="12.75">
      <c r="A92" s="17" t="s">
        <v>13</v>
      </c>
      <c r="B92" s="9"/>
      <c r="C92" s="9"/>
      <c r="D92" s="47"/>
      <c r="E92" s="55">
        <f t="shared" si="20"/>
        <v>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63"/>
      <c r="Y92" s="58">
        <f t="shared" si="19"/>
        <v>0</v>
      </c>
      <c r="Z92" s="9"/>
      <c r="AA92" s="9"/>
      <c r="AB92" s="68"/>
      <c r="AC92">
        <v>15</v>
      </c>
    </row>
    <row r="93" spans="1:28" ht="12.75">
      <c r="A93" s="10" t="s">
        <v>68</v>
      </c>
      <c r="B93" s="11">
        <v>197922</v>
      </c>
      <c r="C93" s="9">
        <v>2870</v>
      </c>
      <c r="D93" s="47">
        <f>B93+C93</f>
        <v>200792</v>
      </c>
      <c r="E93" s="55">
        <f t="shared" si="20"/>
        <v>84543</v>
      </c>
      <c r="F93" s="9"/>
      <c r="G93" s="9"/>
      <c r="H93" s="9">
        <v>360</v>
      </c>
      <c r="I93" s="9"/>
      <c r="J93" s="9"/>
      <c r="K93" s="9"/>
      <c r="L93" s="9"/>
      <c r="M93" s="9"/>
      <c r="N93" s="9">
        <v>100</v>
      </c>
      <c r="O93" s="9"/>
      <c r="P93" s="9">
        <f>Q93+R93+S93+T93</f>
        <v>78407</v>
      </c>
      <c r="Q93" s="9">
        <v>67557</v>
      </c>
      <c r="R93" s="9">
        <v>6560</v>
      </c>
      <c r="S93" s="9">
        <v>2779</v>
      </c>
      <c r="T93" s="9">
        <v>1511</v>
      </c>
      <c r="U93" s="9"/>
      <c r="V93" s="9"/>
      <c r="W93" s="9">
        <v>5676</v>
      </c>
      <c r="X93" s="63">
        <v>8923</v>
      </c>
      <c r="Y93" s="58">
        <f t="shared" si="19"/>
        <v>294258</v>
      </c>
      <c r="Z93" s="9"/>
      <c r="AA93" s="9"/>
      <c r="AB93" s="68">
        <f>Y93+AA93</f>
        <v>294258</v>
      </c>
    </row>
    <row r="94" spans="1:28" ht="12.75">
      <c r="A94" s="10" t="s">
        <v>69</v>
      </c>
      <c r="B94" s="11">
        <v>244395</v>
      </c>
      <c r="C94" s="9">
        <v>3544</v>
      </c>
      <c r="D94" s="47">
        <f>B94+C94</f>
        <v>247939</v>
      </c>
      <c r="E94" s="55">
        <f t="shared" si="20"/>
        <v>95922</v>
      </c>
      <c r="F94" s="9"/>
      <c r="G94" s="9"/>
      <c r="H94" s="9">
        <v>509</v>
      </c>
      <c r="I94" s="9"/>
      <c r="J94" s="9">
        <v>210</v>
      </c>
      <c r="K94" s="9"/>
      <c r="L94" s="9"/>
      <c r="M94" s="9"/>
      <c r="N94" s="39">
        <v>350</v>
      </c>
      <c r="O94" s="9"/>
      <c r="P94" s="9">
        <f>Q94+R94+S94+T94</f>
        <v>85497</v>
      </c>
      <c r="Q94" s="9">
        <v>74126</v>
      </c>
      <c r="R94" s="9">
        <v>6659</v>
      </c>
      <c r="S94" s="9">
        <v>3000</v>
      </c>
      <c r="T94" s="9">
        <v>1712</v>
      </c>
      <c r="U94" s="34">
        <v>1500</v>
      </c>
      <c r="V94" s="9"/>
      <c r="W94" s="9">
        <v>7856</v>
      </c>
      <c r="X94" s="63">
        <v>9265</v>
      </c>
      <c r="Y94" s="58">
        <f t="shared" si="19"/>
        <v>353126</v>
      </c>
      <c r="Z94" s="9"/>
      <c r="AA94" s="9"/>
      <c r="AB94" s="68">
        <f>Y94+AA94</f>
        <v>353126</v>
      </c>
    </row>
    <row r="95" spans="1:28" ht="12.75">
      <c r="A95" s="10"/>
      <c r="B95" s="11">
        <v>0</v>
      </c>
      <c r="C95" s="9">
        <v>0</v>
      </c>
      <c r="D95" s="47"/>
      <c r="E95" s="55">
        <f t="shared" si="20"/>
        <v>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>
        <f>Q95+R95+S95+T95</f>
        <v>0</v>
      </c>
      <c r="Q95" s="9"/>
      <c r="R95" s="9"/>
      <c r="S95" s="9"/>
      <c r="T95" s="9"/>
      <c r="U95" s="9"/>
      <c r="V95" s="9"/>
      <c r="W95" s="9"/>
      <c r="X95" s="63"/>
      <c r="Y95" s="58">
        <f t="shared" si="19"/>
        <v>0</v>
      </c>
      <c r="Z95" s="9"/>
      <c r="AA95" s="9"/>
      <c r="AB95" s="68">
        <f>Y95+AA95</f>
        <v>0</v>
      </c>
    </row>
    <row r="96" spans="1:28" ht="12.75">
      <c r="A96" s="10" t="s">
        <v>4</v>
      </c>
      <c r="B96" s="9">
        <f>ROUND((B94*97)/100,0)+5569+5004</f>
        <v>247636</v>
      </c>
      <c r="C96" s="9">
        <f>ROUND((B96*1.45)/100,0)</f>
        <v>3591</v>
      </c>
      <c r="D96" s="47">
        <f>B96+C96</f>
        <v>251227</v>
      </c>
      <c r="E96" s="55">
        <f t="shared" si="20"/>
        <v>85292</v>
      </c>
      <c r="F96" s="9">
        <f>F93</f>
        <v>0</v>
      </c>
      <c r="G96" s="9">
        <f>G93</f>
        <v>0</v>
      </c>
      <c r="H96" s="9">
        <v>509</v>
      </c>
      <c r="I96" s="9">
        <v>350</v>
      </c>
      <c r="J96" s="9">
        <f>J93</f>
        <v>0</v>
      </c>
      <c r="K96" s="9">
        <f>K93</f>
        <v>0</v>
      </c>
      <c r="L96" s="9"/>
      <c r="M96" s="9">
        <f>M93</f>
        <v>0</v>
      </c>
      <c r="N96" s="9">
        <v>350</v>
      </c>
      <c r="O96" s="9">
        <f>O93</f>
        <v>0</v>
      </c>
      <c r="P96" s="20">
        <f>SUM(Q96:T96)</f>
        <v>78407</v>
      </c>
      <c r="Q96" s="9">
        <f aca="true" t="shared" si="26" ref="Q96:W96">+Q93</f>
        <v>67557</v>
      </c>
      <c r="R96" s="9">
        <f t="shared" si="26"/>
        <v>6560</v>
      </c>
      <c r="S96" s="9">
        <f t="shared" si="26"/>
        <v>2779</v>
      </c>
      <c r="T96" s="9">
        <f t="shared" si="26"/>
        <v>1511</v>
      </c>
      <c r="U96" s="9">
        <f t="shared" si="26"/>
        <v>0</v>
      </c>
      <c r="V96" s="9">
        <f t="shared" si="26"/>
        <v>0</v>
      </c>
      <c r="W96" s="9">
        <f t="shared" si="26"/>
        <v>5676</v>
      </c>
      <c r="X96" s="63">
        <v>7051</v>
      </c>
      <c r="Y96" s="58">
        <f t="shared" si="19"/>
        <v>343570</v>
      </c>
      <c r="Z96" s="11"/>
      <c r="AA96" s="9"/>
      <c r="AB96" s="68">
        <f>Y96+AA96</f>
        <v>343570</v>
      </c>
    </row>
    <row r="97" spans="1:89" s="1" customFormat="1" ht="12.75">
      <c r="A97" s="10"/>
      <c r="B97" s="9"/>
      <c r="C97" s="9"/>
      <c r="D97" s="47"/>
      <c r="E97" s="55">
        <f t="shared" si="20"/>
        <v>0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1"/>
      <c r="R97" s="9"/>
      <c r="S97" s="9"/>
      <c r="T97" s="9"/>
      <c r="U97" s="9"/>
      <c r="V97" s="9"/>
      <c r="W97" s="9"/>
      <c r="X97" s="63"/>
      <c r="Y97" s="58">
        <f t="shared" si="19"/>
        <v>0</v>
      </c>
      <c r="Z97" s="9"/>
      <c r="AA97" s="9"/>
      <c r="AB97" s="68"/>
      <c r="AC97" s="3"/>
      <c r="AD97" s="29" t="s">
        <v>45</v>
      </c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</row>
    <row r="98" spans="1:29" ht="12.75">
      <c r="A98" s="18" t="s">
        <v>42</v>
      </c>
      <c r="B98" s="11"/>
      <c r="C98" s="11"/>
      <c r="D98" s="46"/>
      <c r="E98" s="55">
        <f t="shared" si="20"/>
        <v>0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9"/>
      <c r="R98" s="11"/>
      <c r="S98" s="11"/>
      <c r="T98" s="11"/>
      <c r="U98" s="11"/>
      <c r="V98" s="11"/>
      <c r="W98" s="11"/>
      <c r="X98" s="62"/>
      <c r="Y98" s="58">
        <f t="shared" si="19"/>
        <v>0</v>
      </c>
      <c r="Z98" s="11"/>
      <c r="AA98" s="11"/>
      <c r="AB98" s="67"/>
      <c r="AC98">
        <v>16</v>
      </c>
    </row>
    <row r="99" spans="1:28" ht="12.75">
      <c r="A99" s="10" t="s">
        <v>68</v>
      </c>
      <c r="B99" s="11">
        <v>33081</v>
      </c>
      <c r="C99" s="9">
        <v>480</v>
      </c>
      <c r="D99" s="47">
        <f>B99+C99</f>
        <v>33561</v>
      </c>
      <c r="E99" s="55">
        <f t="shared" si="20"/>
        <v>756</v>
      </c>
      <c r="F99" s="9"/>
      <c r="G99" s="9"/>
      <c r="H99" s="9"/>
      <c r="I99" s="9"/>
      <c r="J99" s="9"/>
      <c r="K99" s="9"/>
      <c r="L99" s="9"/>
      <c r="M99" s="9"/>
      <c r="N99" s="9">
        <v>100</v>
      </c>
      <c r="O99" s="9"/>
      <c r="P99" s="9">
        <f>Q99+R99+S99+T99</f>
        <v>261</v>
      </c>
      <c r="Q99" s="9"/>
      <c r="R99" s="9"/>
      <c r="S99" s="9">
        <v>261</v>
      </c>
      <c r="T99" s="9"/>
      <c r="U99" s="9"/>
      <c r="V99" s="9"/>
      <c r="W99" s="9">
        <v>395</v>
      </c>
      <c r="X99" s="63"/>
      <c r="Y99" s="58">
        <f t="shared" si="19"/>
        <v>34317</v>
      </c>
      <c r="Z99" s="9"/>
      <c r="AA99" s="9"/>
      <c r="AB99" s="68">
        <f>Y99+AA99</f>
        <v>34317</v>
      </c>
    </row>
    <row r="100" spans="1:28" ht="12.75">
      <c r="A100" s="10" t="s">
        <v>69</v>
      </c>
      <c r="B100" s="15">
        <v>38253</v>
      </c>
      <c r="C100" s="9">
        <v>555</v>
      </c>
      <c r="D100" s="47">
        <f>B100+C100</f>
        <v>38808</v>
      </c>
      <c r="E100" s="55">
        <f t="shared" si="20"/>
        <v>791</v>
      </c>
      <c r="F100" s="9"/>
      <c r="G100" s="9"/>
      <c r="H100" s="9"/>
      <c r="I100" s="9"/>
      <c r="J100" s="9"/>
      <c r="K100" s="9"/>
      <c r="L100" s="9"/>
      <c r="M100" s="9"/>
      <c r="N100" s="9">
        <v>100</v>
      </c>
      <c r="O100" s="9"/>
      <c r="P100" s="9">
        <f>Q100+R100+S100+T100</f>
        <v>261</v>
      </c>
      <c r="Q100" s="9"/>
      <c r="R100" s="9"/>
      <c r="S100" s="9">
        <v>261</v>
      </c>
      <c r="T100" s="9"/>
      <c r="U100" s="9"/>
      <c r="V100" s="9"/>
      <c r="W100" s="9">
        <v>430</v>
      </c>
      <c r="X100" s="63"/>
      <c r="Y100" s="58">
        <f t="shared" si="19"/>
        <v>39599</v>
      </c>
      <c r="Z100" s="9"/>
      <c r="AA100" s="9"/>
      <c r="AB100" s="68">
        <f>Y100+AA100</f>
        <v>39599</v>
      </c>
    </row>
    <row r="101" spans="1:28" ht="12.75">
      <c r="A101" s="10"/>
      <c r="B101" s="11">
        <v>0</v>
      </c>
      <c r="C101" s="9">
        <v>0</v>
      </c>
      <c r="D101" s="47"/>
      <c r="E101" s="55">
        <f t="shared" si="20"/>
        <v>0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v>0</v>
      </c>
      <c r="Q101" s="9"/>
      <c r="R101" s="9"/>
      <c r="S101" s="9"/>
      <c r="T101" s="9"/>
      <c r="U101" s="9"/>
      <c r="V101" s="9"/>
      <c r="W101" s="9"/>
      <c r="X101" s="63"/>
      <c r="Y101" s="58">
        <f t="shared" si="19"/>
        <v>0</v>
      </c>
      <c r="Z101" s="11"/>
      <c r="AA101" s="9"/>
      <c r="AB101" s="68">
        <f>Y101+AA101</f>
        <v>0</v>
      </c>
    </row>
    <row r="102" spans="1:28" ht="12.75">
      <c r="A102" s="10" t="s">
        <v>4</v>
      </c>
      <c r="B102" s="9">
        <f>ROUND((B100*97)/100,0)+875</f>
        <v>37980</v>
      </c>
      <c r="C102" s="9">
        <f>ROUND((B102*1.45)/100,0)</f>
        <v>551</v>
      </c>
      <c r="D102" s="47">
        <f>B102+C102</f>
        <v>38531</v>
      </c>
      <c r="E102" s="55">
        <f t="shared" si="20"/>
        <v>756</v>
      </c>
      <c r="F102" s="9">
        <f>F99</f>
        <v>0</v>
      </c>
      <c r="G102" s="9">
        <f aca="true" t="shared" si="27" ref="G102:M102">G99</f>
        <v>0</v>
      </c>
      <c r="H102" s="9">
        <f>H100</f>
        <v>0</v>
      </c>
      <c r="I102" s="9">
        <f t="shared" si="27"/>
        <v>0</v>
      </c>
      <c r="J102" s="9">
        <f t="shared" si="27"/>
        <v>0</v>
      </c>
      <c r="K102" s="9">
        <f t="shared" si="27"/>
        <v>0</v>
      </c>
      <c r="L102" s="9"/>
      <c r="M102" s="9">
        <f t="shared" si="27"/>
        <v>0</v>
      </c>
      <c r="N102" s="9">
        <v>100</v>
      </c>
      <c r="O102" s="9">
        <f>O99</f>
        <v>0</v>
      </c>
      <c r="P102" s="20">
        <f>SUM(Q102:T102)</f>
        <v>261</v>
      </c>
      <c r="Q102" s="9">
        <f aca="true" t="shared" si="28" ref="Q102:W102">+Q99</f>
        <v>0</v>
      </c>
      <c r="R102" s="9">
        <f t="shared" si="28"/>
        <v>0</v>
      </c>
      <c r="S102" s="9">
        <f t="shared" si="28"/>
        <v>261</v>
      </c>
      <c r="T102" s="9">
        <f t="shared" si="28"/>
        <v>0</v>
      </c>
      <c r="U102" s="9">
        <f t="shared" si="28"/>
        <v>0</v>
      </c>
      <c r="V102" s="9">
        <f t="shared" si="28"/>
        <v>0</v>
      </c>
      <c r="W102" s="9">
        <f t="shared" si="28"/>
        <v>395</v>
      </c>
      <c r="X102" s="63">
        <f>X100</f>
        <v>0</v>
      </c>
      <c r="Y102" s="58">
        <f t="shared" si="19"/>
        <v>39287</v>
      </c>
      <c r="Z102" s="11"/>
      <c r="AA102" s="9"/>
      <c r="AB102" s="68">
        <f>Y102+AA102</f>
        <v>39287</v>
      </c>
    </row>
    <row r="103" spans="1:28" ht="12.75">
      <c r="A103" s="10"/>
      <c r="B103" s="11"/>
      <c r="C103" s="11"/>
      <c r="D103" s="46"/>
      <c r="E103" s="55">
        <f t="shared" si="20"/>
        <v>0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1"/>
      <c r="R103" s="9"/>
      <c r="S103" s="9"/>
      <c r="T103" s="9"/>
      <c r="U103" s="9"/>
      <c r="V103" s="9"/>
      <c r="W103" s="9"/>
      <c r="X103" s="63"/>
      <c r="Y103" s="58">
        <f t="shared" si="19"/>
        <v>0</v>
      </c>
      <c r="Z103" s="9"/>
      <c r="AA103" s="9"/>
      <c r="AB103" s="68"/>
    </row>
    <row r="104" spans="1:29" ht="12.75">
      <c r="A104" s="18" t="s">
        <v>38</v>
      </c>
      <c r="B104" s="11"/>
      <c r="C104" s="11"/>
      <c r="D104" s="46"/>
      <c r="E104" s="55">
        <f t="shared" si="20"/>
        <v>0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3"/>
      <c r="R104" s="11"/>
      <c r="S104" s="11"/>
      <c r="T104" s="11"/>
      <c r="U104" s="11"/>
      <c r="V104" s="11"/>
      <c r="W104" s="11"/>
      <c r="X104" s="62"/>
      <c r="Y104" s="58">
        <f t="shared" si="19"/>
        <v>0</v>
      </c>
      <c r="Z104" s="11"/>
      <c r="AA104" s="11"/>
      <c r="AB104" s="67"/>
      <c r="AC104">
        <v>17</v>
      </c>
    </row>
    <row r="105" spans="1:28" ht="12.75">
      <c r="A105" s="10" t="s">
        <v>68</v>
      </c>
      <c r="B105" s="11">
        <v>183520</v>
      </c>
      <c r="C105" s="9">
        <v>2661</v>
      </c>
      <c r="D105" s="47">
        <f>B105+C105</f>
        <v>186181</v>
      </c>
      <c r="E105" s="55">
        <f t="shared" si="20"/>
        <v>25187</v>
      </c>
      <c r="F105" s="9"/>
      <c r="G105" s="9"/>
      <c r="H105" s="9">
        <v>679</v>
      </c>
      <c r="I105" s="9">
        <v>1000</v>
      </c>
      <c r="J105" s="9"/>
      <c r="K105" s="9"/>
      <c r="L105" s="9"/>
      <c r="M105" s="9"/>
      <c r="N105" s="9"/>
      <c r="O105" s="9"/>
      <c r="P105" s="9">
        <f>Q105+R105+S105+T105</f>
        <v>18281</v>
      </c>
      <c r="Q105" s="9">
        <v>11268</v>
      </c>
      <c r="R105" s="9">
        <v>5925</v>
      </c>
      <c r="S105" s="9">
        <v>756</v>
      </c>
      <c r="T105" s="9">
        <v>332</v>
      </c>
      <c r="U105" s="9"/>
      <c r="V105" s="9"/>
      <c r="W105" s="9">
        <v>5227</v>
      </c>
      <c r="X105" s="63">
        <v>17899</v>
      </c>
      <c r="Y105" s="58">
        <f t="shared" si="19"/>
        <v>229267</v>
      </c>
      <c r="Z105" s="9"/>
      <c r="AA105" s="9">
        <v>0</v>
      </c>
      <c r="AB105" s="68">
        <f>Y105+AA105</f>
        <v>229267</v>
      </c>
    </row>
    <row r="106" spans="1:29" ht="12.75">
      <c r="A106" s="10" t="s">
        <v>69</v>
      </c>
      <c r="B106" s="35">
        <v>168487</v>
      </c>
      <c r="C106" s="9">
        <v>2443</v>
      </c>
      <c r="D106" s="47">
        <f>B106+C106</f>
        <v>170930</v>
      </c>
      <c r="E106" s="55">
        <f t="shared" si="20"/>
        <v>27536</v>
      </c>
      <c r="F106" s="9"/>
      <c r="G106" s="9"/>
      <c r="H106" s="9">
        <v>447</v>
      </c>
      <c r="I106" s="9">
        <v>1754</v>
      </c>
      <c r="J106" s="9"/>
      <c r="K106" s="9"/>
      <c r="L106" s="9"/>
      <c r="M106" s="9"/>
      <c r="N106" s="9">
        <v>400</v>
      </c>
      <c r="O106" s="9"/>
      <c r="P106" s="9">
        <f>Q106+R106+S106+T106</f>
        <v>18282</v>
      </c>
      <c r="Q106" s="9">
        <v>11268</v>
      </c>
      <c r="R106" s="9">
        <v>5912</v>
      </c>
      <c r="S106" s="9">
        <v>700</v>
      </c>
      <c r="T106" s="9">
        <v>402</v>
      </c>
      <c r="U106" s="9">
        <v>889</v>
      </c>
      <c r="V106" s="9"/>
      <c r="W106" s="9">
        <v>5764</v>
      </c>
      <c r="X106" s="63">
        <v>17687</v>
      </c>
      <c r="Y106" s="58">
        <f t="shared" si="19"/>
        <v>216153</v>
      </c>
      <c r="Z106" s="9"/>
      <c r="AA106" s="9">
        <v>2200</v>
      </c>
      <c r="AB106" s="68">
        <f>Y106+AA106</f>
        <v>218353</v>
      </c>
      <c r="AC106" s="25"/>
    </row>
    <row r="107" spans="1:28" ht="12.75">
      <c r="A107" s="10"/>
      <c r="B107" s="11">
        <v>0</v>
      </c>
      <c r="C107" s="9">
        <v>0</v>
      </c>
      <c r="D107" s="47"/>
      <c r="E107" s="55">
        <f t="shared" si="20"/>
        <v>0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f>Q107+R107+S107+T107</f>
        <v>0</v>
      </c>
      <c r="Q107" s="9"/>
      <c r="R107" s="9"/>
      <c r="S107" s="9"/>
      <c r="T107" s="9"/>
      <c r="U107" s="9"/>
      <c r="V107" s="9"/>
      <c r="W107" s="9"/>
      <c r="X107" s="63"/>
      <c r="Y107" s="58">
        <f t="shared" si="19"/>
        <v>0</v>
      </c>
      <c r="Z107" s="9"/>
      <c r="AA107" s="9"/>
      <c r="AB107" s="68">
        <f>Y107+AA107</f>
        <v>0</v>
      </c>
    </row>
    <row r="108" spans="1:28" ht="12.75">
      <c r="A108" s="10" t="s">
        <v>4</v>
      </c>
      <c r="B108" s="9">
        <f>ROUND((B106*97)/100,0)+3822+1206</f>
        <v>168460</v>
      </c>
      <c r="C108" s="9">
        <f>ROUND((B108*1.45)/100,0)</f>
        <v>2443</v>
      </c>
      <c r="D108" s="47">
        <f>B108+C108</f>
        <v>170903</v>
      </c>
      <c r="E108" s="55">
        <f t="shared" si="20"/>
        <v>25355</v>
      </c>
      <c r="F108" s="9">
        <f>F105</f>
        <v>0</v>
      </c>
      <c r="G108" s="9">
        <f aca="true" t="shared" si="29" ref="G108:O108">G105</f>
        <v>0</v>
      </c>
      <c r="H108" s="9">
        <v>447</v>
      </c>
      <c r="I108" s="9">
        <v>1000</v>
      </c>
      <c r="J108" s="9">
        <f t="shared" si="29"/>
        <v>0</v>
      </c>
      <c r="K108" s="9">
        <f t="shared" si="29"/>
        <v>0</v>
      </c>
      <c r="L108" s="9"/>
      <c r="M108" s="9">
        <f t="shared" si="29"/>
        <v>0</v>
      </c>
      <c r="N108" s="9">
        <v>400</v>
      </c>
      <c r="O108" s="9">
        <f t="shared" si="29"/>
        <v>0</v>
      </c>
      <c r="P108" s="9">
        <f>SUM(Q108:T108)</f>
        <v>18281</v>
      </c>
      <c r="Q108" s="9">
        <f aca="true" t="shared" si="30" ref="Q108:W108">+Q105</f>
        <v>11268</v>
      </c>
      <c r="R108" s="9">
        <f t="shared" si="30"/>
        <v>5925</v>
      </c>
      <c r="S108" s="9">
        <f t="shared" si="30"/>
        <v>756</v>
      </c>
      <c r="T108" s="9">
        <f t="shared" si="30"/>
        <v>332</v>
      </c>
      <c r="U108" s="9">
        <f t="shared" si="30"/>
        <v>0</v>
      </c>
      <c r="V108" s="9">
        <f t="shared" si="30"/>
        <v>0</v>
      </c>
      <c r="W108" s="9">
        <f t="shared" si="30"/>
        <v>5227</v>
      </c>
      <c r="X108" s="63">
        <v>9813</v>
      </c>
      <c r="Y108" s="58">
        <f t="shared" si="19"/>
        <v>206071</v>
      </c>
      <c r="Z108" s="11"/>
      <c r="AA108" s="9"/>
      <c r="AB108" s="68">
        <f>Y108+AA108</f>
        <v>206071</v>
      </c>
    </row>
    <row r="109" spans="1:28" ht="12.75">
      <c r="A109" s="10"/>
      <c r="B109" s="11"/>
      <c r="C109" s="11"/>
      <c r="D109" s="46"/>
      <c r="E109" s="55">
        <f t="shared" si="20"/>
        <v>0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1"/>
      <c r="R109" s="9"/>
      <c r="S109" s="9"/>
      <c r="T109" s="9"/>
      <c r="U109" s="9"/>
      <c r="V109" s="9"/>
      <c r="W109" s="9"/>
      <c r="X109" s="63"/>
      <c r="Y109" s="58">
        <f t="shared" si="19"/>
        <v>0</v>
      </c>
      <c r="Z109" s="9"/>
      <c r="AA109" s="9"/>
      <c r="AB109" s="68"/>
    </row>
    <row r="110" spans="1:29" ht="12.75">
      <c r="A110" s="18" t="s">
        <v>14</v>
      </c>
      <c r="B110" s="11"/>
      <c r="C110" s="11"/>
      <c r="D110" s="46"/>
      <c r="E110" s="55">
        <f t="shared" si="20"/>
        <v>0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9"/>
      <c r="R110" s="11"/>
      <c r="S110" s="11"/>
      <c r="T110" s="11"/>
      <c r="U110" s="11"/>
      <c r="V110" s="11"/>
      <c r="W110" s="11"/>
      <c r="X110" s="62"/>
      <c r="Y110" s="58">
        <f t="shared" si="19"/>
        <v>0</v>
      </c>
      <c r="Z110" s="11"/>
      <c r="AA110" s="11"/>
      <c r="AB110" s="67"/>
      <c r="AC110">
        <v>18</v>
      </c>
    </row>
    <row r="111" spans="1:28" ht="12.75">
      <c r="A111" s="10" t="s">
        <v>68</v>
      </c>
      <c r="B111" s="11">
        <v>181725</v>
      </c>
      <c r="C111" s="9">
        <v>2635</v>
      </c>
      <c r="D111" s="47">
        <f>B111+C111</f>
        <v>184360</v>
      </c>
      <c r="E111" s="55">
        <f t="shared" si="20"/>
        <v>56711</v>
      </c>
      <c r="F111" s="9"/>
      <c r="G111" s="9"/>
      <c r="H111" s="9">
        <v>500</v>
      </c>
      <c r="I111" s="9">
        <v>765</v>
      </c>
      <c r="J111" s="9"/>
      <c r="K111" s="9"/>
      <c r="L111" s="9"/>
      <c r="M111" s="9"/>
      <c r="N111" s="9"/>
      <c r="O111" s="9"/>
      <c r="P111" s="9">
        <f>Q111+R111+S111+T111</f>
        <v>50103</v>
      </c>
      <c r="Q111" s="9">
        <v>38822</v>
      </c>
      <c r="R111" s="9">
        <v>8566</v>
      </c>
      <c r="S111" s="9">
        <v>1939</v>
      </c>
      <c r="T111" s="9">
        <v>776</v>
      </c>
      <c r="U111" s="9"/>
      <c r="V111" s="9"/>
      <c r="W111" s="9">
        <v>5343</v>
      </c>
      <c r="X111" s="63">
        <v>34842</v>
      </c>
      <c r="Y111" s="58">
        <f t="shared" si="19"/>
        <v>275913</v>
      </c>
      <c r="Z111" s="9"/>
      <c r="AA111" s="9">
        <v>0</v>
      </c>
      <c r="AB111" s="68">
        <f>Y111+AA111</f>
        <v>275913</v>
      </c>
    </row>
    <row r="112" spans="1:35" ht="12.75">
      <c r="A112" s="10" t="s">
        <v>69</v>
      </c>
      <c r="B112" s="11">
        <v>209790</v>
      </c>
      <c r="C112" s="9">
        <v>3042</v>
      </c>
      <c r="D112" s="47">
        <f>B112+C112</f>
        <v>212832</v>
      </c>
      <c r="E112" s="55">
        <f t="shared" si="20"/>
        <v>69090</v>
      </c>
      <c r="F112" s="9"/>
      <c r="G112" s="9"/>
      <c r="H112" s="9">
        <v>400</v>
      </c>
      <c r="I112" s="9">
        <v>1140</v>
      </c>
      <c r="J112" s="9"/>
      <c r="K112" s="9"/>
      <c r="L112" s="9"/>
      <c r="M112" s="9"/>
      <c r="N112" s="9"/>
      <c r="O112" s="9"/>
      <c r="P112" s="9">
        <f>Q112+R112+S112+T112</f>
        <v>56150</v>
      </c>
      <c r="Q112" s="9">
        <v>44151</v>
      </c>
      <c r="R112" s="9">
        <v>8714</v>
      </c>
      <c r="S112" s="9">
        <v>2201</v>
      </c>
      <c r="T112" s="9">
        <v>1084</v>
      </c>
      <c r="U112" s="9"/>
      <c r="V112" s="9"/>
      <c r="W112" s="9">
        <v>11400</v>
      </c>
      <c r="X112" s="63">
        <v>40763</v>
      </c>
      <c r="Y112" s="58">
        <f t="shared" si="19"/>
        <v>322685</v>
      </c>
      <c r="Z112" s="9"/>
      <c r="AA112" s="9">
        <v>2349</v>
      </c>
      <c r="AB112" s="68">
        <f>Y112+AA112</f>
        <v>325034</v>
      </c>
      <c r="AC112" s="25"/>
      <c r="AD112" s="25"/>
      <c r="AE112" s="25"/>
      <c r="AF112" s="25"/>
      <c r="AG112" s="25"/>
      <c r="AH112" s="25"/>
      <c r="AI112" s="25"/>
    </row>
    <row r="113" spans="1:28" ht="12.75">
      <c r="A113" s="10"/>
      <c r="B113" s="11">
        <v>0</v>
      </c>
      <c r="C113" s="9">
        <v>0</v>
      </c>
      <c r="D113" s="47"/>
      <c r="E113" s="55">
        <f t="shared" si="20"/>
        <v>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f>Q113+R113+S113+T113</f>
        <v>0</v>
      </c>
      <c r="Q113" s="9"/>
      <c r="R113" s="9"/>
      <c r="S113" s="9"/>
      <c r="T113" s="9"/>
      <c r="U113" s="9"/>
      <c r="V113" s="9"/>
      <c r="W113" s="9"/>
      <c r="X113" s="63"/>
      <c r="Y113" s="58">
        <f t="shared" si="19"/>
        <v>0</v>
      </c>
      <c r="Z113" s="9"/>
      <c r="AA113" s="9"/>
      <c r="AB113" s="68">
        <f>Y113+AA113</f>
        <v>0</v>
      </c>
    </row>
    <row r="114" spans="1:28" ht="12.75">
      <c r="A114" s="10" t="s">
        <v>4</v>
      </c>
      <c r="B114" s="9">
        <f>ROUND((B112*97)/100,0)+6512+14156</f>
        <v>224164</v>
      </c>
      <c r="C114" s="9">
        <f>ROUND((B114*1.45)/100,0)</f>
        <v>3250</v>
      </c>
      <c r="D114" s="47">
        <f>B114+C114</f>
        <v>227414</v>
      </c>
      <c r="E114" s="55">
        <f t="shared" si="20"/>
        <v>56711</v>
      </c>
      <c r="F114" s="9">
        <f>F111</f>
        <v>0</v>
      </c>
      <c r="G114" s="9">
        <f>G111</f>
        <v>0</v>
      </c>
      <c r="H114" s="9">
        <v>400</v>
      </c>
      <c r="I114" s="9">
        <v>765</v>
      </c>
      <c r="J114" s="9">
        <f>J111</f>
        <v>0</v>
      </c>
      <c r="K114" s="9">
        <f>K111</f>
        <v>0</v>
      </c>
      <c r="L114" s="9"/>
      <c r="M114" s="9">
        <f>M111</f>
        <v>0</v>
      </c>
      <c r="N114" s="9">
        <f>N111</f>
        <v>0</v>
      </c>
      <c r="O114" s="9">
        <f>O111</f>
        <v>0</v>
      </c>
      <c r="P114" s="9">
        <f>SUM(Q114:T114)</f>
        <v>50203</v>
      </c>
      <c r="Q114" s="9">
        <f>+Q111+100</f>
        <v>38922</v>
      </c>
      <c r="R114" s="9">
        <f aca="true" t="shared" si="31" ref="R114:W114">+R111</f>
        <v>8566</v>
      </c>
      <c r="S114" s="9">
        <f t="shared" si="31"/>
        <v>1939</v>
      </c>
      <c r="T114" s="9">
        <f t="shared" si="31"/>
        <v>776</v>
      </c>
      <c r="U114" s="9">
        <f t="shared" si="31"/>
        <v>0</v>
      </c>
      <c r="V114" s="9">
        <f t="shared" si="31"/>
        <v>0</v>
      </c>
      <c r="W114" s="9">
        <f t="shared" si="31"/>
        <v>5343</v>
      </c>
      <c r="X114" s="63">
        <v>34976</v>
      </c>
      <c r="Y114" s="58">
        <f t="shared" si="19"/>
        <v>319101</v>
      </c>
      <c r="Z114" s="11"/>
      <c r="AA114" s="9"/>
      <c r="AB114" s="68">
        <f>Y114+AA114</f>
        <v>319101</v>
      </c>
    </row>
    <row r="115" spans="1:28" ht="12.75">
      <c r="A115" s="10"/>
      <c r="B115" s="11"/>
      <c r="C115" s="11"/>
      <c r="D115" s="46"/>
      <c r="E115" s="55">
        <f t="shared" si="20"/>
        <v>0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11"/>
      <c r="R115" s="9"/>
      <c r="S115" s="9"/>
      <c r="T115" s="9"/>
      <c r="U115" s="9"/>
      <c r="V115" s="9"/>
      <c r="W115" s="9"/>
      <c r="X115" s="63"/>
      <c r="Y115" s="58">
        <f t="shared" si="19"/>
        <v>0</v>
      </c>
      <c r="Z115" s="9"/>
      <c r="AA115" s="9"/>
      <c r="AB115" s="68"/>
    </row>
    <row r="116" spans="1:29" ht="12.75">
      <c r="A116" s="18" t="s">
        <v>15</v>
      </c>
      <c r="B116" s="11"/>
      <c r="C116" s="11"/>
      <c r="D116" s="46"/>
      <c r="E116" s="55">
        <f t="shared" si="20"/>
        <v>0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9"/>
      <c r="R116" s="11"/>
      <c r="S116" s="11"/>
      <c r="T116" s="11"/>
      <c r="U116" s="11"/>
      <c r="V116" s="11"/>
      <c r="W116" s="11"/>
      <c r="X116" s="62"/>
      <c r="Y116" s="58">
        <f t="shared" si="19"/>
        <v>0</v>
      </c>
      <c r="Z116" s="11"/>
      <c r="AA116" s="11"/>
      <c r="AB116" s="67"/>
      <c r="AC116">
        <v>19</v>
      </c>
    </row>
    <row r="117" spans="1:28" ht="12.75">
      <c r="A117" s="10" t="s">
        <v>68</v>
      </c>
      <c r="B117" s="11">
        <v>74286</v>
      </c>
      <c r="C117" s="9">
        <v>1077</v>
      </c>
      <c r="D117" s="47">
        <f>B117+C117</f>
        <v>75363</v>
      </c>
      <c r="E117" s="55">
        <f t="shared" si="20"/>
        <v>30006</v>
      </c>
      <c r="F117" s="9">
        <v>4600</v>
      </c>
      <c r="G117" s="9"/>
      <c r="H117" s="9">
        <v>65</v>
      </c>
      <c r="I117" s="9"/>
      <c r="J117" s="9"/>
      <c r="K117" s="9"/>
      <c r="L117" s="9"/>
      <c r="M117" s="9"/>
      <c r="N117" s="9"/>
      <c r="O117" s="9"/>
      <c r="P117" s="9">
        <f>Q117+R117+S117+T117</f>
        <v>24426</v>
      </c>
      <c r="Q117" s="9">
        <v>18712</v>
      </c>
      <c r="R117" s="9">
        <v>4152</v>
      </c>
      <c r="S117" s="9">
        <v>948</v>
      </c>
      <c r="T117" s="9">
        <v>614</v>
      </c>
      <c r="U117" s="9"/>
      <c r="V117" s="9"/>
      <c r="W117" s="9">
        <v>915</v>
      </c>
      <c r="X117" s="63"/>
      <c r="Y117" s="58">
        <f t="shared" si="19"/>
        <v>105369</v>
      </c>
      <c r="Z117" s="9"/>
      <c r="AA117" s="9"/>
      <c r="AB117" s="68">
        <f>Y117+AA117</f>
        <v>105369</v>
      </c>
    </row>
    <row r="118" spans="1:28" ht="12.75">
      <c r="A118" s="10" t="s">
        <v>69</v>
      </c>
      <c r="B118" s="11">
        <v>81363</v>
      </c>
      <c r="C118" s="9">
        <v>1180</v>
      </c>
      <c r="D118" s="47">
        <f>B118+C118</f>
        <v>82543</v>
      </c>
      <c r="E118" s="55">
        <f t="shared" si="20"/>
        <v>33372</v>
      </c>
      <c r="F118" s="9">
        <v>5359</v>
      </c>
      <c r="G118" s="9"/>
      <c r="H118" s="9">
        <v>69</v>
      </c>
      <c r="I118" s="9"/>
      <c r="J118" s="9"/>
      <c r="K118" s="9"/>
      <c r="L118" s="9"/>
      <c r="M118" s="9"/>
      <c r="N118" s="9"/>
      <c r="O118" s="9"/>
      <c r="P118" s="9">
        <f>Q118+R118+S118+T118</f>
        <v>24314</v>
      </c>
      <c r="Q118" s="9">
        <v>18400</v>
      </c>
      <c r="R118" s="9">
        <v>5056</v>
      </c>
      <c r="S118" s="9">
        <v>730</v>
      </c>
      <c r="T118" s="9">
        <v>128</v>
      </c>
      <c r="U118" s="9"/>
      <c r="V118" s="9"/>
      <c r="W118" s="9">
        <v>3630</v>
      </c>
      <c r="X118" s="63"/>
      <c r="Y118" s="58">
        <f t="shared" si="19"/>
        <v>115915</v>
      </c>
      <c r="Z118" s="9"/>
      <c r="AA118" s="9">
        <v>522</v>
      </c>
      <c r="AB118" s="68">
        <f>Y118+AA118</f>
        <v>116437</v>
      </c>
    </row>
    <row r="119" spans="1:28" ht="12.75">
      <c r="A119" s="10"/>
      <c r="B119" s="11">
        <v>0</v>
      </c>
      <c r="C119" s="9">
        <v>0</v>
      </c>
      <c r="D119" s="47"/>
      <c r="E119" s="55">
        <f t="shared" si="20"/>
        <v>0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>
        <f>Q119+R119+S119+T119</f>
        <v>0</v>
      </c>
      <c r="Q119" s="9"/>
      <c r="R119" s="9"/>
      <c r="S119" s="9"/>
      <c r="T119" s="9"/>
      <c r="U119" s="9"/>
      <c r="V119" s="9"/>
      <c r="W119" s="9"/>
      <c r="X119" s="63"/>
      <c r="Y119" s="58">
        <f t="shared" si="19"/>
        <v>0</v>
      </c>
      <c r="Z119" s="9"/>
      <c r="AA119" s="9"/>
      <c r="AB119" s="68">
        <f>Y119+AA119</f>
        <v>0</v>
      </c>
    </row>
    <row r="120" spans="1:28" ht="12.75">
      <c r="A120" s="10" t="s">
        <v>4</v>
      </c>
      <c r="B120" s="9">
        <f>ROUND((B118*97)/100,0)+2370</f>
        <v>81292</v>
      </c>
      <c r="C120" s="9">
        <f>ROUND((B120*1.45)/100,0)</f>
        <v>1179</v>
      </c>
      <c r="D120" s="47">
        <f>B120+C120</f>
        <v>82471</v>
      </c>
      <c r="E120" s="55">
        <f t="shared" si="20"/>
        <v>30769</v>
      </c>
      <c r="F120" s="9">
        <v>5359</v>
      </c>
      <c r="G120" s="9">
        <f aca="true" t="shared" si="32" ref="G120:O120">G117</f>
        <v>0</v>
      </c>
      <c r="H120" s="9">
        <v>69</v>
      </c>
      <c r="I120" s="9">
        <f t="shared" si="32"/>
        <v>0</v>
      </c>
      <c r="J120" s="9">
        <f t="shared" si="32"/>
        <v>0</v>
      </c>
      <c r="K120" s="9">
        <f t="shared" si="32"/>
        <v>0</v>
      </c>
      <c r="L120" s="9"/>
      <c r="M120" s="9">
        <f t="shared" si="32"/>
        <v>0</v>
      </c>
      <c r="N120" s="9">
        <f t="shared" si="32"/>
        <v>0</v>
      </c>
      <c r="O120" s="9">
        <f t="shared" si="32"/>
        <v>0</v>
      </c>
      <c r="P120" s="20">
        <f>SUM(Q120:T120)</f>
        <v>24426</v>
      </c>
      <c r="Q120" s="9">
        <f aca="true" t="shared" si="33" ref="Q120:W120">+Q117</f>
        <v>18712</v>
      </c>
      <c r="R120" s="9">
        <f t="shared" si="33"/>
        <v>4152</v>
      </c>
      <c r="S120" s="9">
        <f t="shared" si="33"/>
        <v>948</v>
      </c>
      <c r="T120" s="9">
        <f t="shared" si="33"/>
        <v>614</v>
      </c>
      <c r="U120" s="9">
        <f t="shared" si="33"/>
        <v>0</v>
      </c>
      <c r="V120" s="9">
        <f t="shared" si="33"/>
        <v>0</v>
      </c>
      <c r="W120" s="9">
        <f t="shared" si="33"/>
        <v>915</v>
      </c>
      <c r="X120" s="63">
        <f>X117</f>
        <v>0</v>
      </c>
      <c r="Y120" s="58">
        <f t="shared" si="19"/>
        <v>113240</v>
      </c>
      <c r="Z120" s="11"/>
      <c r="AA120" s="9"/>
      <c r="AB120" s="68">
        <f>Y120+AA120</f>
        <v>113240</v>
      </c>
    </row>
    <row r="121" spans="1:28" ht="12.75">
      <c r="A121" s="10"/>
      <c r="B121" s="11"/>
      <c r="C121" s="11"/>
      <c r="D121" s="46"/>
      <c r="E121" s="55">
        <f t="shared" si="20"/>
        <v>0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11"/>
      <c r="R121" s="9"/>
      <c r="S121" s="9"/>
      <c r="T121" s="9"/>
      <c r="U121" s="9"/>
      <c r="V121" s="9"/>
      <c r="W121" s="9"/>
      <c r="X121" s="63"/>
      <c r="Y121" s="58">
        <f t="shared" si="19"/>
        <v>0</v>
      </c>
      <c r="Z121" s="9"/>
      <c r="AA121" s="9"/>
      <c r="AB121" s="68"/>
    </row>
    <row r="122" spans="1:29" ht="12.75">
      <c r="A122" s="18" t="s">
        <v>43</v>
      </c>
      <c r="B122" s="11"/>
      <c r="C122" s="11"/>
      <c r="D122" s="46"/>
      <c r="E122" s="55">
        <f t="shared" si="20"/>
        <v>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9"/>
      <c r="R122" s="11"/>
      <c r="S122" s="11"/>
      <c r="T122" s="11"/>
      <c r="U122" s="11"/>
      <c r="V122" s="11"/>
      <c r="W122" s="11"/>
      <c r="X122" s="62"/>
      <c r="Y122" s="58">
        <f t="shared" si="19"/>
        <v>0</v>
      </c>
      <c r="Z122" s="11"/>
      <c r="AA122" s="11"/>
      <c r="AB122" s="67"/>
      <c r="AC122">
        <v>20</v>
      </c>
    </row>
    <row r="123" spans="1:28" ht="12.75">
      <c r="A123" s="10" t="s">
        <v>68</v>
      </c>
      <c r="B123" s="11">
        <v>45176</v>
      </c>
      <c r="C123" s="9">
        <v>655</v>
      </c>
      <c r="D123" s="47">
        <f>B123+C123</f>
        <v>45831</v>
      </c>
      <c r="E123" s="55">
        <f t="shared" si="20"/>
        <v>3474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>
        <f>Q123+R123+S123+T123</f>
        <v>3011</v>
      </c>
      <c r="Q123" s="9">
        <v>2914</v>
      </c>
      <c r="R123" s="9">
        <v>33</v>
      </c>
      <c r="S123" s="9">
        <v>64</v>
      </c>
      <c r="T123" s="9"/>
      <c r="U123" s="9"/>
      <c r="V123" s="9"/>
      <c r="W123" s="9">
        <v>463</v>
      </c>
      <c r="X123" s="63"/>
      <c r="Y123" s="58">
        <f t="shared" si="19"/>
        <v>49305</v>
      </c>
      <c r="Z123" s="9"/>
      <c r="AA123" s="9"/>
      <c r="AB123" s="68">
        <f>Y123+AA123</f>
        <v>49305</v>
      </c>
    </row>
    <row r="124" spans="1:28" ht="12.75">
      <c r="A124" s="10" t="s">
        <v>69</v>
      </c>
      <c r="B124" s="15">
        <v>38253</v>
      </c>
      <c r="C124" s="9">
        <v>555</v>
      </c>
      <c r="D124" s="47">
        <f>B124+C124</f>
        <v>38808</v>
      </c>
      <c r="E124" s="55">
        <f t="shared" si="20"/>
        <v>2300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>
        <f>Q124+R124+S124+T124</f>
        <v>1918</v>
      </c>
      <c r="Q124" s="9">
        <v>1825</v>
      </c>
      <c r="R124" s="9">
        <v>38</v>
      </c>
      <c r="S124" s="9">
        <v>55</v>
      </c>
      <c r="T124" s="9"/>
      <c r="U124" s="9"/>
      <c r="V124" s="9"/>
      <c r="W124" s="9">
        <v>382</v>
      </c>
      <c r="X124" s="63"/>
      <c r="Y124" s="58">
        <f t="shared" si="19"/>
        <v>41108</v>
      </c>
      <c r="Z124" s="9"/>
      <c r="AA124" s="9"/>
      <c r="AB124" s="68">
        <f>Y124+AA124</f>
        <v>41108</v>
      </c>
    </row>
    <row r="125" spans="1:28" ht="12.75">
      <c r="A125" s="10"/>
      <c r="B125" s="11">
        <v>0</v>
      </c>
      <c r="C125" s="9">
        <v>0</v>
      </c>
      <c r="D125" s="47"/>
      <c r="E125" s="55">
        <f t="shared" si="20"/>
        <v>0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>
        <f>Q125+R125+S125+T125</f>
        <v>0</v>
      </c>
      <c r="Q125" s="9"/>
      <c r="R125" s="9"/>
      <c r="S125" s="9"/>
      <c r="T125" s="9"/>
      <c r="U125" s="9">
        <v>0</v>
      </c>
      <c r="V125" s="9"/>
      <c r="W125" s="9"/>
      <c r="X125" s="63"/>
      <c r="Y125" s="58">
        <f t="shared" si="19"/>
        <v>0</v>
      </c>
      <c r="Z125" s="9"/>
      <c r="AA125" s="9"/>
      <c r="AB125" s="68">
        <f>Y125+AA125</f>
        <v>0</v>
      </c>
    </row>
    <row r="126" spans="1:28" ht="12.75">
      <c r="A126" s="10" t="s">
        <v>4</v>
      </c>
      <c r="B126" s="9">
        <f>ROUND((B124*97)/100,0)+999</f>
        <v>38104</v>
      </c>
      <c r="C126" s="9">
        <f>ROUND((B126*1.45)/100,0)</f>
        <v>553</v>
      </c>
      <c r="D126" s="47">
        <f>B126+C126</f>
        <v>38657</v>
      </c>
      <c r="E126" s="55">
        <f t="shared" si="20"/>
        <v>3474</v>
      </c>
      <c r="F126" s="9">
        <f>F123</f>
        <v>0</v>
      </c>
      <c r="G126" s="9">
        <f aca="true" t="shared" si="34" ref="G126:O126">G123</f>
        <v>0</v>
      </c>
      <c r="H126" s="9">
        <f t="shared" si="34"/>
        <v>0</v>
      </c>
      <c r="I126" s="9">
        <f t="shared" si="34"/>
        <v>0</v>
      </c>
      <c r="J126" s="9">
        <f t="shared" si="34"/>
        <v>0</v>
      </c>
      <c r="K126" s="9">
        <f t="shared" si="34"/>
        <v>0</v>
      </c>
      <c r="L126" s="9"/>
      <c r="M126" s="9">
        <f t="shared" si="34"/>
        <v>0</v>
      </c>
      <c r="N126" s="9">
        <f t="shared" si="34"/>
        <v>0</v>
      </c>
      <c r="O126" s="9">
        <f t="shared" si="34"/>
        <v>0</v>
      </c>
      <c r="P126" s="9">
        <f>SUM(Q126:T126)</f>
        <v>3011</v>
      </c>
      <c r="Q126" s="9">
        <f aca="true" t="shared" si="35" ref="Q126:W126">+Q123</f>
        <v>2914</v>
      </c>
      <c r="R126" s="9">
        <f t="shared" si="35"/>
        <v>33</v>
      </c>
      <c r="S126" s="9">
        <f t="shared" si="35"/>
        <v>64</v>
      </c>
      <c r="T126" s="9">
        <f t="shared" si="35"/>
        <v>0</v>
      </c>
      <c r="U126" s="9">
        <f t="shared" si="35"/>
        <v>0</v>
      </c>
      <c r="V126" s="9">
        <f t="shared" si="35"/>
        <v>0</v>
      </c>
      <c r="W126" s="9">
        <f t="shared" si="35"/>
        <v>463</v>
      </c>
      <c r="X126" s="63">
        <f>X123</f>
        <v>0</v>
      </c>
      <c r="Y126" s="58">
        <f t="shared" si="19"/>
        <v>42131</v>
      </c>
      <c r="Z126" s="11"/>
      <c r="AA126" s="9"/>
      <c r="AB126" s="68">
        <f>Y126+AA126</f>
        <v>42131</v>
      </c>
    </row>
    <row r="127" spans="1:28" ht="12.75">
      <c r="A127" s="10"/>
      <c r="B127" s="11"/>
      <c r="C127" s="11"/>
      <c r="D127" s="46"/>
      <c r="E127" s="55">
        <f t="shared" si="20"/>
        <v>0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1"/>
      <c r="R127" s="9"/>
      <c r="S127" s="9"/>
      <c r="T127" s="9"/>
      <c r="U127" s="9"/>
      <c r="V127" s="9"/>
      <c r="W127" s="9"/>
      <c r="X127" s="63"/>
      <c r="Y127" s="58">
        <f t="shared" si="19"/>
        <v>0</v>
      </c>
      <c r="Z127" s="9"/>
      <c r="AA127" s="9"/>
      <c r="AB127" s="68"/>
    </row>
    <row r="128" spans="1:29" ht="12.75">
      <c r="A128" s="18" t="s">
        <v>16</v>
      </c>
      <c r="B128" s="11"/>
      <c r="C128" s="11"/>
      <c r="D128" s="46"/>
      <c r="E128" s="55">
        <f t="shared" si="20"/>
        <v>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9"/>
      <c r="R128" s="11"/>
      <c r="S128" s="11"/>
      <c r="T128" s="11"/>
      <c r="U128" s="11"/>
      <c r="V128" s="11"/>
      <c r="W128" s="11"/>
      <c r="X128" s="62"/>
      <c r="Y128" s="58">
        <f t="shared" si="19"/>
        <v>0</v>
      </c>
      <c r="Z128" s="11"/>
      <c r="AA128" s="11"/>
      <c r="AB128" s="67"/>
      <c r="AC128">
        <v>21</v>
      </c>
    </row>
    <row r="129" spans="1:28" ht="12.75">
      <c r="A129" s="10" t="s">
        <v>68</v>
      </c>
      <c r="B129" s="11">
        <v>179898</v>
      </c>
      <c r="C129" s="9">
        <v>2609</v>
      </c>
      <c r="D129" s="47">
        <f>B129+C129</f>
        <v>182507</v>
      </c>
      <c r="E129" s="55">
        <f t="shared" si="20"/>
        <v>41919</v>
      </c>
      <c r="F129" s="9"/>
      <c r="G129" s="9"/>
      <c r="H129" s="9">
        <v>270</v>
      </c>
      <c r="I129" s="9">
        <v>674</v>
      </c>
      <c r="J129" s="9"/>
      <c r="K129" s="9"/>
      <c r="L129" s="9"/>
      <c r="M129" s="9"/>
      <c r="N129" s="9">
        <v>200</v>
      </c>
      <c r="O129" s="9"/>
      <c r="P129" s="9">
        <f>Q129+R129+S129+T129</f>
        <v>36626</v>
      </c>
      <c r="Q129" s="9">
        <v>25598</v>
      </c>
      <c r="R129" s="9">
        <v>9188</v>
      </c>
      <c r="S129" s="9">
        <v>1376</v>
      </c>
      <c r="T129" s="9">
        <v>464</v>
      </c>
      <c r="U129" s="9">
        <v>300</v>
      </c>
      <c r="V129" s="9"/>
      <c r="W129" s="9">
        <v>3849</v>
      </c>
      <c r="X129" s="63">
        <v>10356</v>
      </c>
      <c r="Y129" s="58">
        <f t="shared" si="19"/>
        <v>234782</v>
      </c>
      <c r="Z129" s="9"/>
      <c r="AA129" s="9"/>
      <c r="AB129" s="68">
        <f>Y129+AA129</f>
        <v>234782</v>
      </c>
    </row>
    <row r="130" spans="1:31" ht="12.75">
      <c r="A130" s="10" t="s">
        <v>69</v>
      </c>
      <c r="B130" s="11">
        <v>190191</v>
      </c>
      <c r="C130" s="9">
        <v>2758</v>
      </c>
      <c r="D130" s="47">
        <f>B130+C130</f>
        <v>192949</v>
      </c>
      <c r="E130" s="55">
        <f t="shared" si="20"/>
        <v>51810</v>
      </c>
      <c r="F130" s="9"/>
      <c r="G130" s="9"/>
      <c r="H130" s="34">
        <v>1100</v>
      </c>
      <c r="I130" s="9">
        <v>1500</v>
      </c>
      <c r="J130" s="9"/>
      <c r="K130" s="9"/>
      <c r="L130" s="9"/>
      <c r="M130" s="9"/>
      <c r="N130" s="9">
        <v>400</v>
      </c>
      <c r="O130" s="9"/>
      <c r="P130" s="9">
        <f>Q130+R130+S130+T130</f>
        <v>42010</v>
      </c>
      <c r="Q130" s="9">
        <v>29600</v>
      </c>
      <c r="R130" s="9">
        <v>10130</v>
      </c>
      <c r="S130" s="9">
        <v>1600</v>
      </c>
      <c r="T130" s="9">
        <v>680</v>
      </c>
      <c r="U130" s="9">
        <v>1000</v>
      </c>
      <c r="V130" s="9"/>
      <c r="W130" s="9">
        <v>5800</v>
      </c>
      <c r="X130" s="63">
        <v>19950</v>
      </c>
      <c r="Y130" s="58">
        <f t="shared" si="19"/>
        <v>264709</v>
      </c>
      <c r="Z130" s="9"/>
      <c r="AA130" s="9"/>
      <c r="AB130" s="68">
        <f>Y130+AA130</f>
        <v>264709</v>
      </c>
      <c r="AC130" s="25"/>
      <c r="AD130" s="25"/>
      <c r="AE130" s="25"/>
    </row>
    <row r="131" spans="1:28" ht="12.75">
      <c r="A131" s="10"/>
      <c r="B131" s="11">
        <v>0</v>
      </c>
      <c r="C131" s="9">
        <v>0</v>
      </c>
      <c r="D131" s="47"/>
      <c r="E131" s="55">
        <f t="shared" si="20"/>
        <v>0</v>
      </c>
      <c r="F131" s="9"/>
      <c r="G131" s="9"/>
      <c r="H131" s="34"/>
      <c r="I131" s="9"/>
      <c r="J131" s="9"/>
      <c r="K131" s="9"/>
      <c r="L131" s="9"/>
      <c r="M131" s="9"/>
      <c r="N131" s="9"/>
      <c r="O131" s="9"/>
      <c r="P131" s="9">
        <f>Q131+R131+S131+T131</f>
        <v>0</v>
      </c>
      <c r="Q131" s="9"/>
      <c r="R131" s="9"/>
      <c r="S131" s="9"/>
      <c r="T131" s="9"/>
      <c r="U131" s="9"/>
      <c r="V131" s="9"/>
      <c r="W131" s="9"/>
      <c r="X131" s="63"/>
      <c r="Y131" s="58">
        <f t="shared" si="19"/>
        <v>0</v>
      </c>
      <c r="Z131" s="9"/>
      <c r="AA131" s="9"/>
      <c r="AB131" s="68">
        <f>Y131+AA131</f>
        <v>0</v>
      </c>
    </row>
    <row r="132" spans="1:28" ht="12.75">
      <c r="A132" s="10" t="s">
        <v>4</v>
      </c>
      <c r="B132" s="9">
        <f>ROUND((B130*97)/100,0)+4955+16408</f>
        <v>205848</v>
      </c>
      <c r="C132" s="9">
        <f>ROUND((B132*1.45)/100,0)</f>
        <v>2985</v>
      </c>
      <c r="D132" s="47">
        <f>B132+C132</f>
        <v>208833</v>
      </c>
      <c r="E132" s="55">
        <f t="shared" si="20"/>
        <v>42949</v>
      </c>
      <c r="F132" s="9">
        <f>F129</f>
        <v>0</v>
      </c>
      <c r="G132" s="9">
        <f aca="true" t="shared" si="36" ref="G132:M132">G129</f>
        <v>0</v>
      </c>
      <c r="H132" s="34">
        <v>1100</v>
      </c>
      <c r="I132" s="9">
        <v>674</v>
      </c>
      <c r="J132" s="9">
        <f t="shared" si="36"/>
        <v>0</v>
      </c>
      <c r="K132" s="9">
        <f t="shared" si="36"/>
        <v>0</v>
      </c>
      <c r="L132" s="20"/>
      <c r="M132" s="9">
        <f t="shared" si="36"/>
        <v>0</v>
      </c>
      <c r="N132" s="9">
        <v>400</v>
      </c>
      <c r="O132" s="9">
        <f>O129</f>
        <v>0</v>
      </c>
      <c r="P132" s="9">
        <f>SUM(Q132:T132)</f>
        <v>36626</v>
      </c>
      <c r="Q132" s="9">
        <f aca="true" t="shared" si="37" ref="Q132:W132">+Q129</f>
        <v>25598</v>
      </c>
      <c r="R132" s="9">
        <f t="shared" si="37"/>
        <v>9188</v>
      </c>
      <c r="S132" s="9">
        <f t="shared" si="37"/>
        <v>1376</v>
      </c>
      <c r="T132" s="9">
        <f t="shared" si="37"/>
        <v>464</v>
      </c>
      <c r="U132" s="9">
        <f t="shared" si="37"/>
        <v>300</v>
      </c>
      <c r="V132" s="9">
        <f t="shared" si="37"/>
        <v>0</v>
      </c>
      <c r="W132" s="9">
        <f t="shared" si="37"/>
        <v>3849</v>
      </c>
      <c r="X132" s="63">
        <v>16836</v>
      </c>
      <c r="Y132" s="58">
        <f t="shared" si="19"/>
        <v>268618</v>
      </c>
      <c r="Z132" s="11"/>
      <c r="AA132" s="9"/>
      <c r="AB132" s="68">
        <f>Y132+AA132</f>
        <v>268618</v>
      </c>
    </row>
    <row r="133" spans="1:28" ht="12.75">
      <c r="A133" s="10"/>
      <c r="B133" s="11"/>
      <c r="C133" s="11"/>
      <c r="D133" s="46"/>
      <c r="E133" s="55">
        <f t="shared" si="20"/>
        <v>0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1"/>
      <c r="R133" s="9"/>
      <c r="S133" s="9"/>
      <c r="T133" s="9"/>
      <c r="U133" s="9"/>
      <c r="V133" s="9"/>
      <c r="W133" s="9"/>
      <c r="X133" s="63"/>
      <c r="Y133" s="58">
        <f t="shared" si="19"/>
        <v>0</v>
      </c>
      <c r="Z133" s="9"/>
      <c r="AA133" s="9"/>
      <c r="AB133" s="68"/>
    </row>
    <row r="134" spans="1:29" ht="12.75">
      <c r="A134" s="18" t="s">
        <v>44</v>
      </c>
      <c r="B134" s="11"/>
      <c r="C134" s="11"/>
      <c r="D134" s="46"/>
      <c r="E134" s="55">
        <f t="shared" si="20"/>
        <v>0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9"/>
      <c r="R134" s="11"/>
      <c r="S134" s="11"/>
      <c r="T134" s="11"/>
      <c r="U134" s="11"/>
      <c r="V134" s="11"/>
      <c r="W134" s="11"/>
      <c r="X134" s="62"/>
      <c r="Y134" s="58">
        <f t="shared" si="19"/>
        <v>0</v>
      </c>
      <c r="Z134" s="11"/>
      <c r="AA134" s="11"/>
      <c r="AB134" s="67"/>
      <c r="AC134">
        <v>22</v>
      </c>
    </row>
    <row r="135" spans="1:28" ht="12.75">
      <c r="A135" s="10" t="s">
        <v>68</v>
      </c>
      <c r="B135" s="11">
        <v>30599</v>
      </c>
      <c r="C135" s="9">
        <v>444</v>
      </c>
      <c r="D135" s="47">
        <f>B135+C135</f>
        <v>31043</v>
      </c>
      <c r="E135" s="55">
        <f t="shared" si="20"/>
        <v>242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>
        <f>Q134+R135+S135+T135</f>
        <v>0</v>
      </c>
      <c r="Q135" s="9"/>
      <c r="R135" s="9"/>
      <c r="S135" s="9"/>
      <c r="T135" s="9"/>
      <c r="U135" s="9"/>
      <c r="V135" s="9"/>
      <c r="W135" s="9">
        <v>242</v>
      </c>
      <c r="X135" s="63"/>
      <c r="Y135" s="58">
        <f t="shared" si="19"/>
        <v>31285</v>
      </c>
      <c r="Z135" s="9"/>
      <c r="AA135" s="9"/>
      <c r="AB135" s="68">
        <f>Y135+AA135</f>
        <v>31285</v>
      </c>
    </row>
    <row r="136" spans="1:28" ht="12.75">
      <c r="A136" s="10" t="s">
        <v>69</v>
      </c>
      <c r="B136" s="15">
        <v>38253</v>
      </c>
      <c r="C136" s="9">
        <v>555</v>
      </c>
      <c r="D136" s="47">
        <f>B136+C136</f>
        <v>38808</v>
      </c>
      <c r="E136" s="55">
        <f t="shared" si="20"/>
        <v>400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>
        <f>Q135+R136+S136+T136</f>
        <v>0</v>
      </c>
      <c r="Q136" s="9"/>
      <c r="R136" s="9"/>
      <c r="S136" s="9"/>
      <c r="T136" s="9"/>
      <c r="U136" s="9">
        <v>0</v>
      </c>
      <c r="V136" s="9"/>
      <c r="W136" s="9">
        <v>400</v>
      </c>
      <c r="X136" s="63"/>
      <c r="Y136" s="58">
        <f aca="true" t="shared" si="38" ref="Y136:Y199">D136+E136+X136</f>
        <v>39208</v>
      </c>
      <c r="Z136" s="9"/>
      <c r="AA136" s="9"/>
      <c r="AB136" s="68">
        <f>Y136+AA136</f>
        <v>39208</v>
      </c>
    </row>
    <row r="137" spans="1:28" ht="12.75">
      <c r="A137" s="10"/>
      <c r="B137" s="11">
        <v>0</v>
      </c>
      <c r="C137" s="9">
        <v>0</v>
      </c>
      <c r="D137" s="47"/>
      <c r="E137" s="55">
        <f aca="true" t="shared" si="39" ref="E137:E194">F137+G137+H137+I137+J137+K137+L137+M137+N137+O137+P137+U137+V137+W137</f>
        <v>0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>
        <v>0</v>
      </c>
      <c r="Q137" s="9"/>
      <c r="R137" s="9"/>
      <c r="S137" s="9"/>
      <c r="T137" s="9"/>
      <c r="U137" s="9"/>
      <c r="V137" s="9"/>
      <c r="W137" s="9"/>
      <c r="X137" s="63"/>
      <c r="Y137" s="58">
        <f t="shared" si="38"/>
        <v>0</v>
      </c>
      <c r="Z137" s="11"/>
      <c r="AA137" s="9"/>
      <c r="AB137" s="68">
        <f>Y137+AA137</f>
        <v>0</v>
      </c>
    </row>
    <row r="138" spans="1:28" ht="12.75">
      <c r="A138" s="10" t="s">
        <v>4</v>
      </c>
      <c r="B138" s="9">
        <f>ROUND((B136*97)/100,0)</f>
        <v>37105</v>
      </c>
      <c r="C138" s="9">
        <f>ROUND((B138*1.45)/100,0)</f>
        <v>538</v>
      </c>
      <c r="D138" s="47">
        <f>B138+C138</f>
        <v>37643</v>
      </c>
      <c r="E138" s="55">
        <f t="shared" si="39"/>
        <v>242</v>
      </c>
      <c r="F138" s="9">
        <f>F135</f>
        <v>0</v>
      </c>
      <c r="G138" s="9">
        <f aca="true" t="shared" si="40" ref="G138:O138">G135</f>
        <v>0</v>
      </c>
      <c r="H138" s="9">
        <f t="shared" si="40"/>
        <v>0</v>
      </c>
      <c r="I138" s="9">
        <f t="shared" si="40"/>
        <v>0</v>
      </c>
      <c r="J138" s="9">
        <f t="shared" si="40"/>
        <v>0</v>
      </c>
      <c r="K138" s="9">
        <f t="shared" si="40"/>
        <v>0</v>
      </c>
      <c r="L138" s="9"/>
      <c r="M138" s="9">
        <f t="shared" si="40"/>
        <v>0</v>
      </c>
      <c r="N138" s="9">
        <f t="shared" si="40"/>
        <v>0</v>
      </c>
      <c r="O138" s="9">
        <f t="shared" si="40"/>
        <v>0</v>
      </c>
      <c r="P138" s="9">
        <f>SUM(Q138:T138)</f>
        <v>0</v>
      </c>
      <c r="Q138" s="9">
        <f aca="true" t="shared" si="41" ref="Q138:X138">Q135</f>
        <v>0</v>
      </c>
      <c r="R138" s="9">
        <f t="shared" si="41"/>
        <v>0</v>
      </c>
      <c r="S138" s="9">
        <f t="shared" si="41"/>
        <v>0</v>
      </c>
      <c r="T138" s="9">
        <f t="shared" si="41"/>
        <v>0</v>
      </c>
      <c r="U138" s="9">
        <f>+U135</f>
        <v>0</v>
      </c>
      <c r="V138" s="9">
        <f>+V135</f>
        <v>0</v>
      </c>
      <c r="W138" s="9">
        <f>+W135</f>
        <v>242</v>
      </c>
      <c r="X138" s="63">
        <f t="shared" si="41"/>
        <v>0</v>
      </c>
      <c r="Y138" s="58">
        <f t="shared" si="38"/>
        <v>37885</v>
      </c>
      <c r="Z138" s="11"/>
      <c r="AA138" s="9"/>
      <c r="AB138" s="68">
        <f>Y138+AA138</f>
        <v>37885</v>
      </c>
    </row>
    <row r="139" spans="1:28" ht="13.5" customHeight="1">
      <c r="A139" s="10"/>
      <c r="B139" s="11"/>
      <c r="C139" s="11"/>
      <c r="D139" s="46"/>
      <c r="E139" s="55">
        <f t="shared" si="39"/>
        <v>0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1"/>
      <c r="R139" s="9"/>
      <c r="S139" s="9"/>
      <c r="T139" s="9"/>
      <c r="U139" s="9"/>
      <c r="V139" s="9"/>
      <c r="W139" s="9"/>
      <c r="X139" s="63"/>
      <c r="Y139" s="58">
        <f t="shared" si="38"/>
        <v>0</v>
      </c>
      <c r="Z139" s="9"/>
      <c r="AA139" s="9"/>
      <c r="AB139" s="68"/>
    </row>
    <row r="140" spans="1:29" ht="12.75">
      <c r="A140" s="18" t="s">
        <v>17</v>
      </c>
      <c r="B140" s="11"/>
      <c r="C140" s="11"/>
      <c r="D140" s="46"/>
      <c r="E140" s="55">
        <f t="shared" si="39"/>
        <v>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3"/>
      <c r="R140" s="11"/>
      <c r="S140" s="11"/>
      <c r="T140" s="11"/>
      <c r="U140" s="11"/>
      <c r="V140" s="11"/>
      <c r="W140" s="11"/>
      <c r="X140" s="62"/>
      <c r="Y140" s="58">
        <f t="shared" si="38"/>
        <v>0</v>
      </c>
      <c r="Z140" s="11"/>
      <c r="AA140" s="11"/>
      <c r="AB140" s="67"/>
      <c r="AC140">
        <v>23</v>
      </c>
    </row>
    <row r="141" spans="1:28" ht="12.75">
      <c r="A141" s="40" t="s">
        <v>71</v>
      </c>
      <c r="B141" s="11">
        <v>240023</v>
      </c>
      <c r="C141" s="9">
        <v>3380</v>
      </c>
      <c r="D141" s="47">
        <f>B141+C141</f>
        <v>243403</v>
      </c>
      <c r="E141" s="55">
        <f t="shared" si="39"/>
        <v>135723</v>
      </c>
      <c r="F141" s="9"/>
      <c r="G141" s="9"/>
      <c r="H141" s="9">
        <v>450</v>
      </c>
      <c r="I141" s="9">
        <v>1000</v>
      </c>
      <c r="J141" s="9"/>
      <c r="K141" s="9">
        <v>100</v>
      </c>
      <c r="L141" s="9"/>
      <c r="M141" s="9"/>
      <c r="N141" s="9">
        <v>200</v>
      </c>
      <c r="O141" s="9"/>
      <c r="P141" s="9">
        <f>Q141+R141+S141+T141</f>
        <v>129008</v>
      </c>
      <c r="Q141" s="9">
        <v>110016</v>
      </c>
      <c r="R141" s="13">
        <v>14016</v>
      </c>
      <c r="S141" s="13">
        <v>1820</v>
      </c>
      <c r="T141" s="13">
        <v>3156</v>
      </c>
      <c r="U141" s="13">
        <v>560</v>
      </c>
      <c r="V141" s="9"/>
      <c r="W141" s="9">
        <v>4405</v>
      </c>
      <c r="X141" s="63">
        <v>27169</v>
      </c>
      <c r="Y141" s="58">
        <f t="shared" si="38"/>
        <v>406295</v>
      </c>
      <c r="Z141" s="9"/>
      <c r="AA141" s="9"/>
      <c r="AB141" s="68">
        <f>Y141+AA141</f>
        <v>406295</v>
      </c>
    </row>
    <row r="142" spans="1:31" ht="12.75">
      <c r="A142" s="10" t="s">
        <v>70</v>
      </c>
      <c r="B142" s="15">
        <v>263852</v>
      </c>
      <c r="C142" s="9">
        <v>3826</v>
      </c>
      <c r="D142" s="47">
        <f>B142+C142</f>
        <v>267678</v>
      </c>
      <c r="E142" s="55">
        <f t="shared" si="39"/>
        <v>146769</v>
      </c>
      <c r="F142" s="9"/>
      <c r="G142" s="9"/>
      <c r="H142" s="9">
        <v>450</v>
      </c>
      <c r="I142" s="9">
        <v>1902</v>
      </c>
      <c r="J142" s="9"/>
      <c r="K142" s="9">
        <v>250</v>
      </c>
      <c r="L142" s="9"/>
      <c r="M142" s="9"/>
      <c r="N142" s="9">
        <v>750</v>
      </c>
      <c r="O142" s="9"/>
      <c r="P142" s="9">
        <f>Q142+R142+S142+T142</f>
        <v>138222</v>
      </c>
      <c r="Q142" s="9">
        <v>116694</v>
      </c>
      <c r="R142" s="9">
        <v>16278</v>
      </c>
      <c r="S142" s="9">
        <v>1853</v>
      </c>
      <c r="T142" s="9">
        <v>3397</v>
      </c>
      <c r="U142" s="9">
        <v>570</v>
      </c>
      <c r="V142" s="9"/>
      <c r="W142" s="9">
        <v>4625</v>
      </c>
      <c r="X142" s="63">
        <v>25810</v>
      </c>
      <c r="Y142" s="58">
        <f t="shared" si="38"/>
        <v>440257</v>
      </c>
      <c r="Z142" s="9"/>
      <c r="AA142" s="9"/>
      <c r="AB142" s="68">
        <f>Y142+AA142</f>
        <v>440257</v>
      </c>
      <c r="AC142" s="25"/>
      <c r="AD142" s="25"/>
      <c r="AE142" s="25"/>
    </row>
    <row r="143" spans="1:28" ht="12" customHeight="1">
      <c r="A143" s="10"/>
      <c r="B143" s="11"/>
      <c r="C143" s="9"/>
      <c r="D143" s="47"/>
      <c r="E143" s="55">
        <f t="shared" si="39"/>
        <v>0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>
        <f>Q143+R143+S143+T143</f>
        <v>0</v>
      </c>
      <c r="Q143" s="9"/>
      <c r="R143" s="9"/>
      <c r="S143" s="9"/>
      <c r="T143" s="9"/>
      <c r="U143" s="9"/>
      <c r="V143" s="9"/>
      <c r="W143" s="9"/>
      <c r="X143" s="63"/>
      <c r="Y143" s="58">
        <f t="shared" si="38"/>
        <v>0</v>
      </c>
      <c r="Z143" s="9"/>
      <c r="AA143" s="9"/>
      <c r="AB143" s="68">
        <f>Y143+AA143</f>
        <v>0</v>
      </c>
    </row>
    <row r="144" spans="1:28" ht="12.75">
      <c r="A144" s="10" t="s">
        <v>4</v>
      </c>
      <c r="B144" s="9">
        <f>ROUND((B142*97)/100,0)+5979+8842</f>
        <v>270757</v>
      </c>
      <c r="C144" s="9">
        <f>ROUND((B144*1.45)/100,0)</f>
        <v>3926</v>
      </c>
      <c r="D144" s="47">
        <f>B144+C144</f>
        <v>274683</v>
      </c>
      <c r="E144" s="55">
        <f t="shared" si="39"/>
        <v>136423</v>
      </c>
      <c r="F144" s="9">
        <f>F141</f>
        <v>0</v>
      </c>
      <c r="G144" s="9">
        <f>G141</f>
        <v>0</v>
      </c>
      <c r="H144" s="9">
        <v>450</v>
      </c>
      <c r="I144" s="9">
        <v>1000</v>
      </c>
      <c r="J144" s="9">
        <f>J141</f>
        <v>0</v>
      </c>
      <c r="K144" s="9">
        <v>250</v>
      </c>
      <c r="L144" s="9"/>
      <c r="M144" s="9">
        <f>M141</f>
        <v>0</v>
      </c>
      <c r="N144" s="9">
        <v>750</v>
      </c>
      <c r="O144" s="9">
        <f>O141</f>
        <v>0</v>
      </c>
      <c r="P144" s="9">
        <f>SUM(Q144:T144)</f>
        <v>129008</v>
      </c>
      <c r="Q144" s="9">
        <f aca="true" t="shared" si="42" ref="Q144:W144">+Q141</f>
        <v>110016</v>
      </c>
      <c r="R144" s="9">
        <f t="shared" si="42"/>
        <v>14016</v>
      </c>
      <c r="S144" s="9">
        <f t="shared" si="42"/>
        <v>1820</v>
      </c>
      <c r="T144" s="9">
        <f t="shared" si="42"/>
        <v>3156</v>
      </c>
      <c r="U144" s="9">
        <f t="shared" si="42"/>
        <v>560</v>
      </c>
      <c r="V144" s="9">
        <f t="shared" si="42"/>
        <v>0</v>
      </c>
      <c r="W144" s="9">
        <f t="shared" si="42"/>
        <v>4405</v>
      </c>
      <c r="X144" s="63">
        <v>16819</v>
      </c>
      <c r="Y144" s="58">
        <f t="shared" si="38"/>
        <v>427925</v>
      </c>
      <c r="Z144" s="11"/>
      <c r="AA144" s="9"/>
      <c r="AB144" s="68">
        <f>Y144+AA144</f>
        <v>427925</v>
      </c>
    </row>
    <row r="145" spans="1:28" ht="12.75">
      <c r="A145" s="10"/>
      <c r="B145" s="11"/>
      <c r="C145" s="11"/>
      <c r="D145" s="46"/>
      <c r="E145" s="55">
        <f t="shared" si="39"/>
        <v>0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1"/>
      <c r="R145" s="9"/>
      <c r="S145" s="9"/>
      <c r="T145" s="9"/>
      <c r="U145" s="9"/>
      <c r="V145" s="9"/>
      <c r="W145" s="9"/>
      <c r="X145" s="63"/>
      <c r="Y145" s="58">
        <f t="shared" si="38"/>
        <v>0</v>
      </c>
      <c r="Z145" s="11"/>
      <c r="AA145" s="9"/>
      <c r="AB145" s="68"/>
    </row>
    <row r="146" spans="1:29" ht="12.75">
      <c r="A146" s="22" t="s">
        <v>36</v>
      </c>
      <c r="B146" s="23"/>
      <c r="C146" s="11"/>
      <c r="D146" s="46"/>
      <c r="E146" s="55">
        <f t="shared" si="39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3"/>
      <c r="R146" s="11"/>
      <c r="S146" s="11"/>
      <c r="T146" s="11"/>
      <c r="U146" s="11"/>
      <c r="V146" s="11"/>
      <c r="W146" s="11"/>
      <c r="X146" s="62"/>
      <c r="Y146" s="58">
        <f t="shared" si="38"/>
        <v>0</v>
      </c>
      <c r="Z146" s="11"/>
      <c r="AA146" s="11"/>
      <c r="AB146" s="67"/>
      <c r="AC146">
        <v>24</v>
      </c>
    </row>
    <row r="147" spans="1:31" ht="24">
      <c r="A147" s="40" t="s">
        <v>79</v>
      </c>
      <c r="B147" s="23">
        <v>115703</v>
      </c>
      <c r="C147" s="20">
        <v>2585</v>
      </c>
      <c r="D147" s="47">
        <f>B147+C147</f>
        <v>118288</v>
      </c>
      <c r="E147" s="55">
        <f t="shared" si="39"/>
        <v>31039</v>
      </c>
      <c r="F147" s="9"/>
      <c r="G147" s="9"/>
      <c r="H147" s="20">
        <v>200</v>
      </c>
      <c r="I147" s="9"/>
      <c r="J147" s="9"/>
      <c r="K147" s="9"/>
      <c r="L147" s="20"/>
      <c r="M147" s="9"/>
      <c r="N147" s="9"/>
      <c r="O147" s="9"/>
      <c r="P147" s="9">
        <f>Q147+R147+S147+T147</f>
        <v>24660</v>
      </c>
      <c r="Q147" s="20">
        <v>19655</v>
      </c>
      <c r="R147" s="13">
        <v>3550</v>
      </c>
      <c r="S147" s="13">
        <v>995</v>
      </c>
      <c r="T147" s="13">
        <v>460</v>
      </c>
      <c r="U147" s="20"/>
      <c r="V147" s="9"/>
      <c r="W147" s="9">
        <v>6179</v>
      </c>
      <c r="X147" s="63">
        <v>7506</v>
      </c>
      <c r="Y147" s="58">
        <f t="shared" si="38"/>
        <v>156833</v>
      </c>
      <c r="Z147" s="9"/>
      <c r="AA147" s="9"/>
      <c r="AB147" s="68">
        <f>Y147+AA147</f>
        <v>156833</v>
      </c>
      <c r="AC147" s="25"/>
      <c r="AD147" s="25"/>
      <c r="AE147" s="25"/>
    </row>
    <row r="148" spans="1:28" ht="12.75">
      <c r="A148" s="10" t="s">
        <v>70</v>
      </c>
      <c r="B148" s="23">
        <v>16219</v>
      </c>
      <c r="C148" s="20">
        <v>235</v>
      </c>
      <c r="D148" s="47">
        <f>B148+C148</f>
        <v>16454</v>
      </c>
      <c r="E148" s="55">
        <f t="shared" si="39"/>
        <v>32820</v>
      </c>
      <c r="F148" s="9"/>
      <c r="G148" s="9"/>
      <c r="H148" s="9">
        <v>316</v>
      </c>
      <c r="I148" s="9"/>
      <c r="J148" s="9"/>
      <c r="K148" s="9"/>
      <c r="L148" s="9"/>
      <c r="M148" s="9">
        <v>1700</v>
      </c>
      <c r="N148" s="9"/>
      <c r="O148" s="9"/>
      <c r="P148" s="9">
        <f>Q148+R148+S148+T148</f>
        <v>23656</v>
      </c>
      <c r="Q148" s="9">
        <v>17699</v>
      </c>
      <c r="R148" s="9">
        <v>4139</v>
      </c>
      <c r="S148" s="9">
        <v>1385</v>
      </c>
      <c r="T148" s="9">
        <v>433</v>
      </c>
      <c r="U148" s="9">
        <v>1060</v>
      </c>
      <c r="V148" s="9"/>
      <c r="W148" s="9">
        <v>6088</v>
      </c>
      <c r="X148" s="63">
        <v>11000</v>
      </c>
      <c r="Y148" s="58">
        <f t="shared" si="38"/>
        <v>60274</v>
      </c>
      <c r="Z148" s="9"/>
      <c r="AA148" s="9"/>
      <c r="AB148" s="68">
        <f>Y148+AA148</f>
        <v>60274</v>
      </c>
    </row>
    <row r="149" spans="1:28" ht="12.75" customHeight="1">
      <c r="A149" s="33"/>
      <c r="B149" s="11">
        <v>0</v>
      </c>
      <c r="C149" s="9">
        <v>0</v>
      </c>
      <c r="D149" s="47"/>
      <c r="E149" s="55">
        <f t="shared" si="39"/>
        <v>0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>
        <f>Q149+R149+S149+T149</f>
        <v>0</v>
      </c>
      <c r="Q149" s="9"/>
      <c r="R149" s="9"/>
      <c r="S149" s="9"/>
      <c r="T149" s="9"/>
      <c r="U149" s="9"/>
      <c r="V149" s="9"/>
      <c r="W149" s="9"/>
      <c r="X149" s="63"/>
      <c r="Y149" s="58">
        <f t="shared" si="38"/>
        <v>0</v>
      </c>
      <c r="Z149" s="9"/>
      <c r="AA149" s="9"/>
      <c r="AB149" s="68">
        <f>Y149+AA149</f>
        <v>0</v>
      </c>
    </row>
    <row r="150" spans="1:28" ht="12.75">
      <c r="A150" s="10" t="s">
        <v>4</v>
      </c>
      <c r="B150" s="9">
        <f>ROUND((B148*97)/100,0)+5344</f>
        <v>21076</v>
      </c>
      <c r="C150" s="9">
        <f>ROUND((B150*1.45)/100,0)</f>
        <v>306</v>
      </c>
      <c r="D150" s="47">
        <f>B150+C150</f>
        <v>21382</v>
      </c>
      <c r="E150" s="55">
        <f t="shared" si="39"/>
        <v>31155</v>
      </c>
      <c r="F150" s="9"/>
      <c r="G150" s="9"/>
      <c r="H150" s="9">
        <v>316</v>
      </c>
      <c r="I150" s="9">
        <f>I148</f>
        <v>0</v>
      </c>
      <c r="J150" s="9">
        <f aca="true" t="shared" si="43" ref="J150:O150">J147</f>
        <v>0</v>
      </c>
      <c r="K150" s="9">
        <f t="shared" si="43"/>
        <v>0</v>
      </c>
      <c r="L150" s="20"/>
      <c r="M150" s="9">
        <f t="shared" si="43"/>
        <v>0</v>
      </c>
      <c r="N150" s="9">
        <f t="shared" si="43"/>
        <v>0</v>
      </c>
      <c r="O150" s="9">
        <f t="shared" si="43"/>
        <v>0</v>
      </c>
      <c r="P150" s="20">
        <f>SUM(Q150:T150)</f>
        <v>24660</v>
      </c>
      <c r="Q150" s="9">
        <f aca="true" t="shared" si="44" ref="Q150:W150">+Q147</f>
        <v>19655</v>
      </c>
      <c r="R150" s="9">
        <f t="shared" si="44"/>
        <v>3550</v>
      </c>
      <c r="S150" s="9">
        <f t="shared" si="44"/>
        <v>995</v>
      </c>
      <c r="T150" s="9">
        <f t="shared" si="44"/>
        <v>460</v>
      </c>
      <c r="U150" s="9">
        <f t="shared" si="44"/>
        <v>0</v>
      </c>
      <c r="V150" s="9">
        <f t="shared" si="44"/>
        <v>0</v>
      </c>
      <c r="W150" s="9">
        <f t="shared" si="44"/>
        <v>6179</v>
      </c>
      <c r="X150" s="63">
        <v>11607</v>
      </c>
      <c r="Y150" s="58">
        <f t="shared" si="38"/>
        <v>64144</v>
      </c>
      <c r="Z150" s="11"/>
      <c r="AA150" s="9"/>
      <c r="AB150" s="68">
        <f>Y150+AA150</f>
        <v>64144</v>
      </c>
    </row>
    <row r="151" spans="1:28" ht="12.75" customHeight="1">
      <c r="A151" s="10"/>
      <c r="B151" s="11"/>
      <c r="C151" s="11"/>
      <c r="D151" s="46"/>
      <c r="E151" s="55">
        <f t="shared" si="39"/>
        <v>0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1"/>
      <c r="R151" s="9"/>
      <c r="S151" s="9"/>
      <c r="T151" s="9"/>
      <c r="U151" s="9"/>
      <c r="V151" s="9"/>
      <c r="W151" s="9"/>
      <c r="X151" s="63"/>
      <c r="Y151" s="58">
        <f t="shared" si="38"/>
        <v>0</v>
      </c>
      <c r="Z151" s="9"/>
      <c r="AA151" s="9"/>
      <c r="AB151" s="68"/>
    </row>
    <row r="152" spans="1:29" ht="12.75">
      <c r="A152" s="18" t="s">
        <v>18</v>
      </c>
      <c r="B152" s="11"/>
      <c r="C152" s="11"/>
      <c r="D152" s="46"/>
      <c r="E152" s="55">
        <f t="shared" si="39"/>
        <v>0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3"/>
      <c r="R152" s="11"/>
      <c r="S152" s="11"/>
      <c r="T152" s="11"/>
      <c r="U152" s="11"/>
      <c r="V152" s="11"/>
      <c r="W152" s="11"/>
      <c r="X152" s="62"/>
      <c r="Y152" s="58">
        <f t="shared" si="38"/>
        <v>0</v>
      </c>
      <c r="Z152" s="11"/>
      <c r="AA152" s="11"/>
      <c r="AB152" s="67"/>
      <c r="AC152">
        <v>25</v>
      </c>
    </row>
    <row r="153" spans="1:28" ht="12.75">
      <c r="A153" s="10" t="s">
        <v>68</v>
      </c>
      <c r="B153" s="11">
        <v>377692</v>
      </c>
      <c r="C153" s="9">
        <v>5477</v>
      </c>
      <c r="D153" s="47">
        <f>B153+C153</f>
        <v>383169</v>
      </c>
      <c r="E153" s="55">
        <f t="shared" si="39"/>
        <v>11034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>
        <f>Q153+R153+S153+T153</f>
        <v>9834</v>
      </c>
      <c r="Q153" s="13">
        <v>7637</v>
      </c>
      <c r="R153" s="9">
        <v>1709</v>
      </c>
      <c r="S153" s="9">
        <v>302</v>
      </c>
      <c r="T153" s="9">
        <v>186</v>
      </c>
      <c r="U153" s="9"/>
      <c r="V153" s="9"/>
      <c r="W153" s="9">
        <v>1200</v>
      </c>
      <c r="X153" s="63"/>
      <c r="Y153" s="58">
        <f t="shared" si="38"/>
        <v>394203</v>
      </c>
      <c r="Z153" s="9"/>
      <c r="AA153" s="9"/>
      <c r="AB153" s="68">
        <f>Y153+AA153</f>
        <v>394203</v>
      </c>
    </row>
    <row r="154" spans="1:28" ht="12.75">
      <c r="A154" s="10" t="s">
        <v>70</v>
      </c>
      <c r="B154" s="11">
        <v>428838</v>
      </c>
      <c r="C154" s="9">
        <v>6218</v>
      </c>
      <c r="D154" s="47">
        <f>B154+C154</f>
        <v>435056</v>
      </c>
      <c r="E154" s="55">
        <f t="shared" si="39"/>
        <v>12108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>
        <f>Q154+R154+S154+T154</f>
        <v>9608</v>
      </c>
      <c r="Q154" s="13">
        <v>7973</v>
      </c>
      <c r="R154" s="9">
        <v>1635</v>
      </c>
      <c r="S154" s="9"/>
      <c r="T154" s="9"/>
      <c r="U154" s="9"/>
      <c r="V154" s="9"/>
      <c r="W154" s="9">
        <v>2500</v>
      </c>
      <c r="X154" s="63"/>
      <c r="Y154" s="58">
        <f t="shared" si="38"/>
        <v>447164</v>
      </c>
      <c r="Z154" s="9"/>
      <c r="AA154" s="9"/>
      <c r="AB154" s="68">
        <f>Y154+AA154</f>
        <v>447164</v>
      </c>
    </row>
    <row r="155" spans="1:28" ht="12.75">
      <c r="A155" s="10"/>
      <c r="B155" s="11"/>
      <c r="C155" s="9"/>
      <c r="D155" s="47"/>
      <c r="E155" s="55">
        <f t="shared" si="39"/>
        <v>0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>
        <f>Q155+R155+S155+T155</f>
        <v>0</v>
      </c>
      <c r="Q155" s="9"/>
      <c r="R155" s="9"/>
      <c r="S155" s="9"/>
      <c r="T155" s="9"/>
      <c r="U155" s="9"/>
      <c r="V155" s="9"/>
      <c r="W155" s="9"/>
      <c r="X155" s="63"/>
      <c r="Y155" s="58">
        <f t="shared" si="38"/>
        <v>0</v>
      </c>
      <c r="Z155" s="9"/>
      <c r="AA155" s="9"/>
      <c r="AB155" s="68">
        <f>Y155+AA155</f>
        <v>0</v>
      </c>
    </row>
    <row r="156" spans="1:28" ht="12.75">
      <c r="A156" s="10" t="s">
        <v>4</v>
      </c>
      <c r="B156" s="9">
        <f>ROUND((B154*97)/100,0)+4341-20938-20789</f>
        <v>378587</v>
      </c>
      <c r="C156" s="9">
        <f>ROUND((B156*1.45)/100,0)</f>
        <v>5490</v>
      </c>
      <c r="D156" s="47">
        <f>B156+C156</f>
        <v>384077</v>
      </c>
      <c r="E156" s="55">
        <f t="shared" si="39"/>
        <v>11034</v>
      </c>
      <c r="F156" s="9">
        <f>F153</f>
        <v>0</v>
      </c>
      <c r="G156" s="9">
        <f aca="true" t="shared" si="45" ref="G156:O156">G153</f>
        <v>0</v>
      </c>
      <c r="H156" s="9">
        <f t="shared" si="45"/>
        <v>0</v>
      </c>
      <c r="I156" s="9">
        <f t="shared" si="45"/>
        <v>0</v>
      </c>
      <c r="J156" s="9">
        <f t="shared" si="45"/>
        <v>0</v>
      </c>
      <c r="K156" s="9">
        <f t="shared" si="45"/>
        <v>0</v>
      </c>
      <c r="L156" s="20"/>
      <c r="M156" s="9">
        <f t="shared" si="45"/>
        <v>0</v>
      </c>
      <c r="N156" s="9">
        <f t="shared" si="45"/>
        <v>0</v>
      </c>
      <c r="O156" s="9">
        <f t="shared" si="45"/>
        <v>0</v>
      </c>
      <c r="P156" s="9">
        <f>Q156+R156+S156+T156</f>
        <v>9834</v>
      </c>
      <c r="Q156" s="9">
        <f aca="true" t="shared" si="46" ref="Q156:W156">+Q153</f>
        <v>7637</v>
      </c>
      <c r="R156" s="9">
        <f t="shared" si="46"/>
        <v>1709</v>
      </c>
      <c r="S156" s="9">
        <f t="shared" si="46"/>
        <v>302</v>
      </c>
      <c r="T156" s="9">
        <f t="shared" si="46"/>
        <v>186</v>
      </c>
      <c r="U156" s="9">
        <f t="shared" si="46"/>
        <v>0</v>
      </c>
      <c r="V156" s="9">
        <f t="shared" si="46"/>
        <v>0</v>
      </c>
      <c r="W156" s="9">
        <f t="shared" si="46"/>
        <v>1200</v>
      </c>
      <c r="X156" s="63">
        <f>X153</f>
        <v>0</v>
      </c>
      <c r="Y156" s="58">
        <f t="shared" si="38"/>
        <v>395111</v>
      </c>
      <c r="Z156" s="11"/>
      <c r="AA156" s="9"/>
      <c r="AB156" s="68">
        <f>Y156+AA156</f>
        <v>395111</v>
      </c>
    </row>
    <row r="157" spans="1:28" ht="12.75">
      <c r="A157" s="10"/>
      <c r="B157" s="11"/>
      <c r="C157" s="11"/>
      <c r="D157" s="46"/>
      <c r="E157" s="55">
        <f t="shared" si="39"/>
        <v>0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1"/>
      <c r="R157" s="9"/>
      <c r="S157" s="9"/>
      <c r="T157" s="9"/>
      <c r="U157" s="9"/>
      <c r="V157" s="9"/>
      <c r="W157" s="9"/>
      <c r="X157" s="63"/>
      <c r="Y157" s="58">
        <f t="shared" si="38"/>
        <v>0</v>
      </c>
      <c r="Z157" s="9"/>
      <c r="AA157" s="9"/>
      <c r="AB157" s="68"/>
    </row>
    <row r="158" spans="1:28" ht="12.75">
      <c r="A158" s="18" t="s">
        <v>19</v>
      </c>
      <c r="B158" s="11"/>
      <c r="C158" s="11"/>
      <c r="D158" s="46"/>
      <c r="E158" s="55">
        <f t="shared" si="39"/>
        <v>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9"/>
      <c r="R158" s="11"/>
      <c r="S158" s="11"/>
      <c r="T158" s="11"/>
      <c r="U158" s="11"/>
      <c r="V158" s="11"/>
      <c r="W158" s="11"/>
      <c r="X158" s="62"/>
      <c r="Y158" s="58">
        <f t="shared" si="38"/>
        <v>0</v>
      </c>
      <c r="Z158" s="11"/>
      <c r="AA158" s="11"/>
      <c r="AB158" s="67"/>
    </row>
    <row r="159" spans="1:29" ht="12.75">
      <c r="A159" s="10" t="s">
        <v>68</v>
      </c>
      <c r="B159" s="11">
        <v>112255</v>
      </c>
      <c r="C159" s="9">
        <v>1628</v>
      </c>
      <c r="D159" s="47">
        <f>B159+C159</f>
        <v>113883</v>
      </c>
      <c r="E159" s="55">
        <f t="shared" si="39"/>
        <v>1230</v>
      </c>
      <c r="F159" s="9"/>
      <c r="G159" s="9"/>
      <c r="H159" s="9">
        <v>362</v>
      </c>
      <c r="I159" s="9"/>
      <c r="J159" s="9"/>
      <c r="K159" s="9"/>
      <c r="L159" s="9"/>
      <c r="M159" s="9"/>
      <c r="N159" s="9"/>
      <c r="O159" s="9"/>
      <c r="P159" s="9">
        <f>Q159+R159+S159+T159</f>
        <v>868</v>
      </c>
      <c r="Q159" s="9"/>
      <c r="R159" s="9">
        <v>746</v>
      </c>
      <c r="S159" s="9">
        <v>122</v>
      </c>
      <c r="T159" s="9"/>
      <c r="U159" s="9"/>
      <c r="V159" s="9"/>
      <c r="W159" s="9"/>
      <c r="X159" s="63"/>
      <c r="Y159" s="58">
        <f t="shared" si="38"/>
        <v>115113</v>
      </c>
      <c r="Z159" s="9"/>
      <c r="AA159" s="9"/>
      <c r="AB159" s="68">
        <f>Y159+AA159</f>
        <v>115113</v>
      </c>
      <c r="AC159">
        <v>26</v>
      </c>
    </row>
    <row r="160" spans="1:28" ht="12.75">
      <c r="A160" s="10" t="s">
        <v>70</v>
      </c>
      <c r="B160" s="23">
        <v>135146</v>
      </c>
      <c r="C160" s="9">
        <v>1960</v>
      </c>
      <c r="D160" s="47">
        <f>B160+C160</f>
        <v>137106</v>
      </c>
      <c r="E160" s="55">
        <f t="shared" si="39"/>
        <v>1310</v>
      </c>
      <c r="F160" s="9"/>
      <c r="G160" s="9"/>
      <c r="H160" s="9">
        <v>362</v>
      </c>
      <c r="I160" s="9"/>
      <c r="J160" s="9"/>
      <c r="K160" s="9"/>
      <c r="L160" s="9"/>
      <c r="M160" s="9"/>
      <c r="N160" s="9"/>
      <c r="O160" s="9"/>
      <c r="P160" s="9">
        <f>Q160+R160+S160+T160</f>
        <v>948</v>
      </c>
      <c r="Q160" s="9"/>
      <c r="R160" s="9">
        <v>805</v>
      </c>
      <c r="S160" s="9">
        <v>143</v>
      </c>
      <c r="T160" s="9"/>
      <c r="U160" s="9"/>
      <c r="V160" s="9"/>
      <c r="W160" s="9"/>
      <c r="X160" s="63"/>
      <c r="Y160" s="58">
        <f t="shared" si="38"/>
        <v>138416</v>
      </c>
      <c r="Z160" s="9"/>
      <c r="AA160" s="9"/>
      <c r="AB160" s="68">
        <f>Y160+AA160</f>
        <v>138416</v>
      </c>
    </row>
    <row r="161" spans="1:28" ht="12.75">
      <c r="A161" s="10"/>
      <c r="B161" s="11">
        <v>0</v>
      </c>
      <c r="C161" s="9"/>
      <c r="D161" s="47"/>
      <c r="E161" s="55">
        <f t="shared" si="39"/>
        <v>0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>
        <f>Q161+R161+S161</f>
        <v>0</v>
      </c>
      <c r="Q161" s="9"/>
      <c r="R161" s="9"/>
      <c r="S161" s="9"/>
      <c r="T161" s="9"/>
      <c r="U161" s="9"/>
      <c r="V161" s="9"/>
      <c r="W161" s="9"/>
      <c r="X161" s="63"/>
      <c r="Y161" s="58">
        <f t="shared" si="38"/>
        <v>0</v>
      </c>
      <c r="Z161" s="9"/>
      <c r="AA161" s="9"/>
      <c r="AB161" s="68">
        <f>Y161+AA161</f>
        <v>0</v>
      </c>
    </row>
    <row r="162" spans="1:28" ht="12.75">
      <c r="A162" s="10" t="s">
        <v>4</v>
      </c>
      <c r="B162" s="9">
        <f>ROUND((B160*97)/100,0)+2844-12321-6360</f>
        <v>115255</v>
      </c>
      <c r="C162" s="9">
        <f>ROUND((B162*1.45)/100,0)</f>
        <v>1671</v>
      </c>
      <c r="D162" s="47">
        <f>B162+C162</f>
        <v>116926</v>
      </c>
      <c r="E162" s="55">
        <f t="shared" si="39"/>
        <v>1230</v>
      </c>
      <c r="F162" s="9">
        <f>F159</f>
        <v>0</v>
      </c>
      <c r="G162" s="9">
        <f aca="true" t="shared" si="47" ref="G162:O162">G159</f>
        <v>0</v>
      </c>
      <c r="H162" s="9">
        <v>362</v>
      </c>
      <c r="I162" s="9">
        <f>I160</f>
        <v>0</v>
      </c>
      <c r="J162" s="9">
        <f t="shared" si="47"/>
        <v>0</v>
      </c>
      <c r="K162" s="9">
        <f t="shared" si="47"/>
        <v>0</v>
      </c>
      <c r="L162" s="9"/>
      <c r="M162" s="9">
        <f t="shared" si="47"/>
        <v>0</v>
      </c>
      <c r="N162" s="9">
        <f t="shared" si="47"/>
        <v>0</v>
      </c>
      <c r="O162" s="9">
        <f t="shared" si="47"/>
        <v>0</v>
      </c>
      <c r="P162" s="9">
        <f>SUM(Q162:T162)</f>
        <v>868</v>
      </c>
      <c r="Q162" s="9">
        <f aca="true" t="shared" si="48" ref="Q162:W162">+Q159</f>
        <v>0</v>
      </c>
      <c r="R162" s="9">
        <f t="shared" si="48"/>
        <v>746</v>
      </c>
      <c r="S162" s="9">
        <f t="shared" si="48"/>
        <v>122</v>
      </c>
      <c r="T162" s="9">
        <f t="shared" si="48"/>
        <v>0</v>
      </c>
      <c r="U162" s="9">
        <f t="shared" si="48"/>
        <v>0</v>
      </c>
      <c r="V162" s="9">
        <f t="shared" si="48"/>
        <v>0</v>
      </c>
      <c r="W162" s="9">
        <f t="shared" si="48"/>
        <v>0</v>
      </c>
      <c r="X162" s="63">
        <f>X159</f>
        <v>0</v>
      </c>
      <c r="Y162" s="58">
        <f t="shared" si="38"/>
        <v>118156</v>
      </c>
      <c r="Z162" s="11"/>
      <c r="AA162" s="9"/>
      <c r="AB162" s="68">
        <f>Y162+AA162</f>
        <v>118156</v>
      </c>
    </row>
    <row r="163" spans="1:28" ht="12.75">
      <c r="A163" s="10"/>
      <c r="B163" s="11"/>
      <c r="C163" s="11"/>
      <c r="D163" s="46"/>
      <c r="E163" s="55">
        <f t="shared" si="39"/>
        <v>0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1"/>
      <c r="R163" s="9"/>
      <c r="S163" s="9"/>
      <c r="T163" s="9"/>
      <c r="U163" s="9"/>
      <c r="V163" s="9"/>
      <c r="W163" s="9"/>
      <c r="X163" s="63"/>
      <c r="Y163" s="58">
        <f t="shared" si="38"/>
        <v>0</v>
      </c>
      <c r="Z163" s="9"/>
      <c r="AA163" s="9"/>
      <c r="AB163" s="68"/>
    </row>
    <row r="164" spans="1:29" ht="12.75">
      <c r="A164" s="18" t="s">
        <v>20</v>
      </c>
      <c r="B164" s="11"/>
      <c r="C164" s="11"/>
      <c r="D164" s="46"/>
      <c r="E164" s="55">
        <f t="shared" si="39"/>
        <v>0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9"/>
      <c r="R164" s="11"/>
      <c r="S164" s="11"/>
      <c r="T164" s="11"/>
      <c r="U164" s="11"/>
      <c r="V164" s="11"/>
      <c r="W164" s="11"/>
      <c r="X164" s="62"/>
      <c r="Y164" s="58">
        <f t="shared" si="38"/>
        <v>0</v>
      </c>
      <c r="Z164" s="11"/>
      <c r="AA164" s="11"/>
      <c r="AB164" s="67"/>
      <c r="AC164">
        <v>27</v>
      </c>
    </row>
    <row r="165" spans="1:28" ht="12.75">
      <c r="A165" s="10" t="s">
        <v>68</v>
      </c>
      <c r="B165" s="11">
        <v>63882</v>
      </c>
      <c r="C165" s="9">
        <v>926</v>
      </c>
      <c r="D165" s="47">
        <f>B165+C165</f>
        <v>64808</v>
      </c>
      <c r="E165" s="55">
        <f t="shared" si="39"/>
        <v>8499</v>
      </c>
      <c r="F165" s="9"/>
      <c r="G165" s="9"/>
      <c r="H165" s="9">
        <v>187</v>
      </c>
      <c r="I165" s="9"/>
      <c r="J165" s="9"/>
      <c r="K165" s="9">
        <v>290</v>
      </c>
      <c r="L165" s="9"/>
      <c r="M165" s="9"/>
      <c r="N165" s="9"/>
      <c r="O165" s="9"/>
      <c r="P165" s="9">
        <f>Q165+R165+S165+T165</f>
        <v>0</v>
      </c>
      <c r="Q165" s="9"/>
      <c r="R165" s="9"/>
      <c r="S165" s="9"/>
      <c r="T165" s="9"/>
      <c r="U165" s="9"/>
      <c r="V165" s="9"/>
      <c r="W165" s="9">
        <v>8022</v>
      </c>
      <c r="X165" s="63"/>
      <c r="Y165" s="58">
        <f t="shared" si="38"/>
        <v>73307</v>
      </c>
      <c r="Z165" s="9"/>
      <c r="AA165" s="9"/>
      <c r="AB165" s="68">
        <f>Y165+AA165</f>
        <v>73307</v>
      </c>
    </row>
    <row r="166" spans="1:28" ht="12.75">
      <c r="A166" s="10" t="s">
        <v>70</v>
      </c>
      <c r="B166" s="35">
        <v>76295</v>
      </c>
      <c r="C166" s="34">
        <v>1106</v>
      </c>
      <c r="D166" s="47">
        <f>B166+C166</f>
        <v>77401</v>
      </c>
      <c r="E166" s="55">
        <f t="shared" si="39"/>
        <v>11305</v>
      </c>
      <c r="F166" s="9"/>
      <c r="G166" s="9"/>
      <c r="H166" s="9">
        <v>200</v>
      </c>
      <c r="I166" s="9"/>
      <c r="J166" s="9"/>
      <c r="K166" s="9">
        <v>500</v>
      </c>
      <c r="L166" s="9"/>
      <c r="M166" s="9"/>
      <c r="N166" s="9"/>
      <c r="O166" s="9"/>
      <c r="P166" s="9">
        <f>Q166+R166+S166+T166</f>
        <v>0</v>
      </c>
      <c r="Q166" s="9"/>
      <c r="R166" s="9"/>
      <c r="S166" s="9"/>
      <c r="T166" s="9"/>
      <c r="U166" s="9"/>
      <c r="V166" s="9"/>
      <c r="W166" s="9">
        <v>10605</v>
      </c>
      <c r="X166" s="63"/>
      <c r="Y166" s="58">
        <f t="shared" si="38"/>
        <v>88706</v>
      </c>
      <c r="Z166" s="11"/>
      <c r="AA166" s="9"/>
      <c r="AB166" s="68">
        <f>Y166+AA166</f>
        <v>88706</v>
      </c>
    </row>
    <row r="167" spans="1:28" ht="12.75">
      <c r="A167" s="10"/>
      <c r="B167" s="11">
        <v>0</v>
      </c>
      <c r="C167" s="9">
        <v>0</v>
      </c>
      <c r="D167" s="47"/>
      <c r="E167" s="55">
        <f t="shared" si="39"/>
        <v>0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>
        <f>Q167+R167+S167+T167</f>
        <v>0</v>
      </c>
      <c r="Q167" s="9"/>
      <c r="R167" s="9"/>
      <c r="S167" s="9"/>
      <c r="T167" s="9"/>
      <c r="U167" s="9"/>
      <c r="V167" s="9"/>
      <c r="W167" s="9"/>
      <c r="X167" s="63"/>
      <c r="Y167" s="58">
        <f t="shared" si="38"/>
        <v>0</v>
      </c>
      <c r="Z167" s="11"/>
      <c r="AA167" s="9"/>
      <c r="AB167" s="68">
        <f>Y167+AA167</f>
        <v>0</v>
      </c>
    </row>
    <row r="168" spans="1:28" ht="12.75">
      <c r="A168" s="10" t="s">
        <v>4</v>
      </c>
      <c r="B168" s="9">
        <f>ROUND((B166*97)/100,0)+4889</f>
        <v>78895</v>
      </c>
      <c r="C168" s="9">
        <f>ROUND((B168*1.45)/100,0)</f>
        <v>1144</v>
      </c>
      <c r="D168" s="47">
        <f>B168+C168</f>
        <v>80039</v>
      </c>
      <c r="E168" s="55">
        <f t="shared" si="39"/>
        <v>8722</v>
      </c>
      <c r="F168" s="9">
        <f>F165</f>
        <v>0</v>
      </c>
      <c r="G168" s="9">
        <f aca="true" t="shared" si="49" ref="G168:O168">G165</f>
        <v>0</v>
      </c>
      <c r="H168" s="9">
        <v>200</v>
      </c>
      <c r="I168" s="9">
        <f>I166</f>
        <v>0</v>
      </c>
      <c r="J168" s="9">
        <f t="shared" si="49"/>
        <v>0</v>
      </c>
      <c r="K168" s="9">
        <v>500</v>
      </c>
      <c r="L168" s="9"/>
      <c r="M168" s="9">
        <f t="shared" si="49"/>
        <v>0</v>
      </c>
      <c r="N168" s="9">
        <f t="shared" si="49"/>
        <v>0</v>
      </c>
      <c r="O168" s="9">
        <f t="shared" si="49"/>
        <v>0</v>
      </c>
      <c r="P168" s="9">
        <f>SUM(Q168:T168)</f>
        <v>0</v>
      </c>
      <c r="Q168" s="9">
        <f aca="true" t="shared" si="50" ref="Q168:X168">Q165</f>
        <v>0</v>
      </c>
      <c r="R168" s="9">
        <f>R166</f>
        <v>0</v>
      </c>
      <c r="S168" s="9">
        <f t="shared" si="50"/>
        <v>0</v>
      </c>
      <c r="T168" s="9">
        <f t="shared" si="50"/>
        <v>0</v>
      </c>
      <c r="U168" s="9"/>
      <c r="V168" s="9"/>
      <c r="W168" s="20">
        <f>+W165</f>
        <v>8022</v>
      </c>
      <c r="X168" s="63">
        <f t="shared" si="50"/>
        <v>0</v>
      </c>
      <c r="Y168" s="58">
        <f t="shared" si="38"/>
        <v>88761</v>
      </c>
      <c r="Z168" s="11"/>
      <c r="AA168" s="9"/>
      <c r="AB168" s="68">
        <f>Y168+AA168</f>
        <v>88761</v>
      </c>
    </row>
    <row r="169" spans="1:28" ht="12.75">
      <c r="A169" s="10"/>
      <c r="B169" s="11"/>
      <c r="C169" s="11"/>
      <c r="D169" s="46"/>
      <c r="E169" s="55">
        <f t="shared" si="39"/>
        <v>0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1"/>
      <c r="R169" s="9"/>
      <c r="S169" s="9"/>
      <c r="T169" s="9"/>
      <c r="U169" s="9"/>
      <c r="V169" s="9"/>
      <c r="W169" s="9"/>
      <c r="X169" s="63"/>
      <c r="Y169" s="58">
        <f t="shared" si="38"/>
        <v>0</v>
      </c>
      <c r="Z169" s="9"/>
      <c r="AA169" s="9"/>
      <c r="AB169" s="68"/>
    </row>
    <row r="170" spans="1:29" ht="24">
      <c r="A170" s="19" t="s">
        <v>21</v>
      </c>
      <c r="B170" s="11"/>
      <c r="C170" s="11"/>
      <c r="D170" s="46"/>
      <c r="E170" s="55">
        <f t="shared" si="39"/>
        <v>0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9"/>
      <c r="R170" s="11"/>
      <c r="S170" s="11"/>
      <c r="T170" s="11"/>
      <c r="U170" s="11"/>
      <c r="V170" s="11"/>
      <c r="W170" s="11"/>
      <c r="X170" s="62"/>
      <c r="Y170" s="58">
        <f t="shared" si="38"/>
        <v>0</v>
      </c>
      <c r="Z170" s="11"/>
      <c r="AA170" s="11"/>
      <c r="AB170" s="67"/>
      <c r="AC170">
        <v>28</v>
      </c>
    </row>
    <row r="171" spans="1:28" ht="12.75">
      <c r="A171" s="10" t="s">
        <v>68</v>
      </c>
      <c r="B171" s="11">
        <v>35648</v>
      </c>
      <c r="C171" s="9">
        <v>517</v>
      </c>
      <c r="D171" s="47">
        <f>B171+C171</f>
        <v>36165</v>
      </c>
      <c r="E171" s="55">
        <f t="shared" si="39"/>
        <v>1970</v>
      </c>
      <c r="F171" s="9"/>
      <c r="G171" s="9"/>
      <c r="H171" s="9">
        <v>937</v>
      </c>
      <c r="I171" s="9"/>
      <c r="J171" s="9"/>
      <c r="K171" s="9"/>
      <c r="L171" s="9"/>
      <c r="M171" s="9"/>
      <c r="N171" s="9"/>
      <c r="O171" s="9"/>
      <c r="P171" s="9">
        <f>Q171+R171+S171+T171</f>
        <v>0</v>
      </c>
      <c r="Q171" s="9"/>
      <c r="R171" s="9"/>
      <c r="S171" s="9"/>
      <c r="T171" s="9"/>
      <c r="U171" s="9"/>
      <c r="V171" s="9"/>
      <c r="W171" s="9">
        <v>1033</v>
      </c>
      <c r="X171" s="63"/>
      <c r="Y171" s="58">
        <f t="shared" si="38"/>
        <v>38135</v>
      </c>
      <c r="Z171" s="9"/>
      <c r="AA171" s="9"/>
      <c r="AB171" s="68">
        <f>Y171+AA171</f>
        <v>38135</v>
      </c>
    </row>
    <row r="172" spans="1:32" ht="12.75">
      <c r="A172" s="10" t="s">
        <v>70</v>
      </c>
      <c r="B172" s="11">
        <v>38965</v>
      </c>
      <c r="C172" s="9">
        <v>565</v>
      </c>
      <c r="D172" s="47">
        <f>B172+C172</f>
        <v>39530</v>
      </c>
      <c r="E172" s="55">
        <f t="shared" si="39"/>
        <v>5903</v>
      </c>
      <c r="F172" s="9"/>
      <c r="G172" s="9"/>
      <c r="H172" s="9">
        <v>937</v>
      </c>
      <c r="I172" s="9"/>
      <c r="J172" s="9"/>
      <c r="K172" s="9"/>
      <c r="L172" s="9"/>
      <c r="M172" s="9">
        <v>1000</v>
      </c>
      <c r="N172" s="9"/>
      <c r="O172" s="9"/>
      <c r="P172" s="9">
        <f>Q172+R172+S172+T172</f>
        <v>0</v>
      </c>
      <c r="Q172" s="9"/>
      <c r="R172" s="9"/>
      <c r="S172" s="9"/>
      <c r="T172" s="9"/>
      <c r="U172" s="9">
        <v>1764</v>
      </c>
      <c r="V172" s="9"/>
      <c r="W172" s="9">
        <v>2202</v>
      </c>
      <c r="X172" s="63"/>
      <c r="Y172" s="58">
        <f t="shared" si="38"/>
        <v>45433</v>
      </c>
      <c r="Z172" s="9"/>
      <c r="AA172" s="9"/>
      <c r="AB172" s="68">
        <f>Y172+AA172</f>
        <v>45433</v>
      </c>
      <c r="AC172" s="25"/>
      <c r="AD172" s="25"/>
      <c r="AE172" s="25"/>
      <c r="AF172" s="25"/>
    </row>
    <row r="173" spans="1:28" ht="12.75">
      <c r="A173" s="10"/>
      <c r="B173" s="11">
        <v>0</v>
      </c>
      <c r="C173" s="9">
        <v>0</v>
      </c>
      <c r="D173" s="47"/>
      <c r="E173" s="55">
        <f t="shared" si="39"/>
        <v>0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>
        <f>Q173+R173+S173</f>
        <v>0</v>
      </c>
      <c r="Q173" s="9"/>
      <c r="R173" s="9"/>
      <c r="S173" s="9"/>
      <c r="T173" s="9"/>
      <c r="U173" s="9"/>
      <c r="V173" s="9"/>
      <c r="W173" s="9"/>
      <c r="X173" s="63"/>
      <c r="Y173" s="58">
        <f t="shared" si="38"/>
        <v>0</v>
      </c>
      <c r="Z173" s="9"/>
      <c r="AA173" s="9"/>
      <c r="AB173" s="68">
        <f>Y173+AA173</f>
        <v>0</v>
      </c>
    </row>
    <row r="174" spans="1:28" ht="12.75">
      <c r="A174" s="10" t="s">
        <v>4</v>
      </c>
      <c r="B174" s="9">
        <f>ROUND((B172*97)/100,0)+3091</f>
        <v>40887</v>
      </c>
      <c r="C174" s="9">
        <f>ROUND((B174*1.45)/100,0)</f>
        <v>593</v>
      </c>
      <c r="D174" s="47">
        <f>B174+C174</f>
        <v>41480</v>
      </c>
      <c r="E174" s="55">
        <f t="shared" si="39"/>
        <v>3011</v>
      </c>
      <c r="F174" s="9">
        <f>F171</f>
        <v>0</v>
      </c>
      <c r="G174" s="9">
        <f aca="true" t="shared" si="51" ref="G174:O174">G171</f>
        <v>0</v>
      </c>
      <c r="H174" s="9">
        <v>937</v>
      </c>
      <c r="I174" s="9">
        <v>1041</v>
      </c>
      <c r="J174" s="9">
        <f t="shared" si="51"/>
        <v>0</v>
      </c>
      <c r="K174" s="9">
        <f t="shared" si="51"/>
        <v>0</v>
      </c>
      <c r="L174" s="9"/>
      <c r="M174" s="9">
        <f t="shared" si="51"/>
        <v>0</v>
      </c>
      <c r="N174" s="9">
        <f t="shared" si="51"/>
        <v>0</v>
      </c>
      <c r="O174" s="9">
        <f t="shared" si="51"/>
        <v>0</v>
      </c>
      <c r="P174" s="9">
        <f>SUM(Q174:T174)</f>
        <v>0</v>
      </c>
      <c r="Q174" s="9">
        <f aca="true" t="shared" si="52" ref="Q174:X174">Q171</f>
        <v>0</v>
      </c>
      <c r="R174" s="9">
        <f>R172</f>
        <v>0</v>
      </c>
      <c r="S174" s="9">
        <f t="shared" si="52"/>
        <v>0</v>
      </c>
      <c r="T174" s="9">
        <f t="shared" si="52"/>
        <v>0</v>
      </c>
      <c r="U174" s="9">
        <f>+U171</f>
        <v>0</v>
      </c>
      <c r="V174" s="9">
        <f>+V171</f>
        <v>0</v>
      </c>
      <c r="W174" s="9">
        <f>+W171</f>
        <v>1033</v>
      </c>
      <c r="X174" s="63">
        <f t="shared" si="52"/>
        <v>0</v>
      </c>
      <c r="Y174" s="58">
        <f t="shared" si="38"/>
        <v>44491</v>
      </c>
      <c r="Z174" s="11"/>
      <c r="AA174" s="9"/>
      <c r="AB174" s="68">
        <f>Y174+AA174</f>
        <v>44491</v>
      </c>
    </row>
    <row r="175" spans="1:28" ht="12.75">
      <c r="A175" s="10"/>
      <c r="B175" s="11"/>
      <c r="C175" s="11"/>
      <c r="D175" s="46"/>
      <c r="E175" s="55">
        <f t="shared" si="39"/>
        <v>0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11"/>
      <c r="R175" s="9"/>
      <c r="S175" s="9"/>
      <c r="T175" s="9"/>
      <c r="U175" s="9"/>
      <c r="V175" s="9"/>
      <c r="W175" s="9"/>
      <c r="X175" s="63"/>
      <c r="Y175" s="58">
        <f t="shared" si="38"/>
        <v>0</v>
      </c>
      <c r="Z175" s="9"/>
      <c r="AA175" s="9"/>
      <c r="AB175" s="68"/>
    </row>
    <row r="176" spans="1:29" ht="12.75">
      <c r="A176" s="71" t="s">
        <v>49</v>
      </c>
      <c r="B176" s="72"/>
      <c r="C176" s="73"/>
      <c r="D176" s="50"/>
      <c r="E176" s="55">
        <f t="shared" si="39"/>
        <v>0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62"/>
      <c r="Y176" s="58">
        <f t="shared" si="38"/>
        <v>0</v>
      </c>
      <c r="Z176" s="11"/>
      <c r="AA176" s="11"/>
      <c r="AB176" s="67"/>
      <c r="AC176">
        <v>29</v>
      </c>
    </row>
    <row r="177" spans="1:28" ht="12.75">
      <c r="A177" s="10" t="s">
        <v>72</v>
      </c>
      <c r="B177" s="11">
        <f>B178+B179</f>
        <v>178058</v>
      </c>
      <c r="C177" s="11">
        <f>C178+C179</f>
        <v>2582</v>
      </c>
      <c r="D177" s="47">
        <f aca="true" t="shared" si="53" ref="D177:D182">B177+C177</f>
        <v>180640</v>
      </c>
      <c r="E177" s="55">
        <f t="shared" si="39"/>
        <v>32252</v>
      </c>
      <c r="F177" s="11">
        <f aca="true" t="shared" si="54" ref="F177:O177">F178+F179</f>
        <v>2572</v>
      </c>
      <c r="G177" s="11">
        <f t="shared" si="54"/>
        <v>0</v>
      </c>
      <c r="H177" s="11">
        <f t="shared" si="54"/>
        <v>496</v>
      </c>
      <c r="I177" s="11">
        <f t="shared" si="54"/>
        <v>0</v>
      </c>
      <c r="J177" s="11">
        <f t="shared" si="54"/>
        <v>0</v>
      </c>
      <c r="K177" s="11">
        <f t="shared" si="54"/>
        <v>0</v>
      </c>
      <c r="L177" s="11">
        <f t="shared" si="54"/>
        <v>0</v>
      </c>
      <c r="M177" s="11">
        <f t="shared" si="54"/>
        <v>0</v>
      </c>
      <c r="N177" s="11">
        <f t="shared" si="54"/>
        <v>0</v>
      </c>
      <c r="O177" s="11">
        <f t="shared" si="54"/>
        <v>0</v>
      </c>
      <c r="P177" s="13">
        <f aca="true" t="shared" si="55" ref="P177:X177">P178+P179</f>
        <v>27643</v>
      </c>
      <c r="Q177" s="11">
        <f t="shared" si="55"/>
        <v>15680</v>
      </c>
      <c r="R177" s="11">
        <f t="shared" si="55"/>
        <v>10898</v>
      </c>
      <c r="S177" s="11">
        <f t="shared" si="55"/>
        <v>765</v>
      </c>
      <c r="T177" s="11">
        <f t="shared" si="55"/>
        <v>300</v>
      </c>
      <c r="U177" s="11">
        <f t="shared" si="55"/>
        <v>0</v>
      </c>
      <c r="V177" s="11">
        <f t="shared" si="55"/>
        <v>0</v>
      </c>
      <c r="W177" s="11">
        <f t="shared" si="55"/>
        <v>1541</v>
      </c>
      <c r="X177" s="62">
        <f t="shared" si="55"/>
        <v>0</v>
      </c>
      <c r="Y177" s="58">
        <f t="shared" si="38"/>
        <v>212892</v>
      </c>
      <c r="Z177" s="11"/>
      <c r="AA177" s="11">
        <f>AA178+AA179</f>
        <v>0</v>
      </c>
      <c r="AB177" s="68">
        <f aca="true" t="shared" si="56" ref="AB177:AB185">Y177+AA177</f>
        <v>212892</v>
      </c>
    </row>
    <row r="178" spans="1:28" ht="12.75">
      <c r="A178" s="10" t="s">
        <v>23</v>
      </c>
      <c r="B178" s="23">
        <v>150735</v>
      </c>
      <c r="C178" s="11">
        <v>2186</v>
      </c>
      <c r="D178" s="47">
        <f t="shared" si="53"/>
        <v>152921</v>
      </c>
      <c r="E178" s="55">
        <f t="shared" si="39"/>
        <v>23409</v>
      </c>
      <c r="F178" s="11">
        <v>2572</v>
      </c>
      <c r="G178" s="11"/>
      <c r="H178" s="11">
        <v>216</v>
      </c>
      <c r="I178" s="11">
        <v>0</v>
      </c>
      <c r="J178" s="11"/>
      <c r="K178" s="11"/>
      <c r="L178" s="11"/>
      <c r="M178" s="11"/>
      <c r="N178" s="11"/>
      <c r="O178" s="11"/>
      <c r="P178" s="20">
        <f>Q178+R178+S178+T178</f>
        <v>19230</v>
      </c>
      <c r="Q178" s="23">
        <v>15680</v>
      </c>
      <c r="R178" s="11">
        <v>3000</v>
      </c>
      <c r="S178" s="11">
        <v>300</v>
      </c>
      <c r="T178" s="11">
        <v>250</v>
      </c>
      <c r="U178" s="11"/>
      <c r="V178" s="11"/>
      <c r="W178" s="11">
        <v>1391</v>
      </c>
      <c r="X178" s="62"/>
      <c r="Y178" s="58">
        <f t="shared" si="38"/>
        <v>176330</v>
      </c>
      <c r="Z178" s="11"/>
      <c r="AA178" s="11"/>
      <c r="AB178" s="68">
        <f t="shared" si="56"/>
        <v>176330</v>
      </c>
    </row>
    <row r="179" spans="1:28" ht="12.75">
      <c r="A179" s="10" t="s">
        <v>24</v>
      </c>
      <c r="B179" s="11">
        <v>27323</v>
      </c>
      <c r="C179" s="11">
        <v>396</v>
      </c>
      <c r="D179" s="47">
        <f t="shared" si="53"/>
        <v>27719</v>
      </c>
      <c r="E179" s="55">
        <f t="shared" si="39"/>
        <v>8843</v>
      </c>
      <c r="F179" s="11"/>
      <c r="G179" s="11"/>
      <c r="H179" s="11">
        <v>280</v>
      </c>
      <c r="I179" s="11"/>
      <c r="J179" s="11"/>
      <c r="K179" s="11"/>
      <c r="L179" s="11"/>
      <c r="M179" s="11"/>
      <c r="N179" s="11"/>
      <c r="O179" s="11"/>
      <c r="P179" s="20">
        <f>Q179+R179+S179+T179</f>
        <v>8413</v>
      </c>
      <c r="Q179" s="23"/>
      <c r="R179" s="11">
        <v>7898</v>
      </c>
      <c r="S179" s="11">
        <v>465</v>
      </c>
      <c r="T179" s="11">
        <v>50</v>
      </c>
      <c r="U179" s="11"/>
      <c r="V179" s="11"/>
      <c r="W179" s="11">
        <v>150</v>
      </c>
      <c r="X179" s="62"/>
      <c r="Y179" s="58">
        <f t="shared" si="38"/>
        <v>36562</v>
      </c>
      <c r="Z179" s="11"/>
      <c r="AA179" s="11"/>
      <c r="AB179" s="68">
        <f>Y179+AA179</f>
        <v>36562</v>
      </c>
    </row>
    <row r="180" spans="1:28" ht="12.75">
      <c r="A180" s="9" t="s">
        <v>73</v>
      </c>
      <c r="B180" s="11">
        <f>B181+B182</f>
        <v>222521</v>
      </c>
      <c r="C180" s="11">
        <f>C181+C182</f>
        <v>3227</v>
      </c>
      <c r="D180" s="47">
        <f t="shared" si="53"/>
        <v>225748</v>
      </c>
      <c r="E180" s="55">
        <f t="shared" si="39"/>
        <v>39982</v>
      </c>
      <c r="F180" s="11">
        <f aca="true" t="shared" si="57" ref="F180:L180">F181+F182</f>
        <v>5072</v>
      </c>
      <c r="G180" s="11">
        <f t="shared" si="57"/>
        <v>0</v>
      </c>
      <c r="H180" s="11">
        <f t="shared" si="57"/>
        <v>530</v>
      </c>
      <c r="I180" s="11">
        <f t="shared" si="57"/>
        <v>0</v>
      </c>
      <c r="J180" s="11">
        <f t="shared" si="57"/>
        <v>0</v>
      </c>
      <c r="K180" s="11">
        <f t="shared" si="57"/>
        <v>0</v>
      </c>
      <c r="L180" s="11">
        <f t="shared" si="57"/>
        <v>0</v>
      </c>
      <c r="M180" s="11">
        <f>M181+M182</f>
        <v>0</v>
      </c>
      <c r="N180" s="11">
        <f>N181+N182</f>
        <v>0</v>
      </c>
      <c r="O180" s="11">
        <f>O181+O182</f>
        <v>0</v>
      </c>
      <c r="P180" s="9">
        <f>Q180+R180+S180+T180</f>
        <v>31164</v>
      </c>
      <c r="Q180" s="11">
        <f aca="true" t="shared" si="58" ref="Q180:X180">Q181+Q182</f>
        <v>17085</v>
      </c>
      <c r="R180" s="11">
        <f t="shared" si="58"/>
        <v>12931</v>
      </c>
      <c r="S180" s="11">
        <f t="shared" si="58"/>
        <v>790</v>
      </c>
      <c r="T180" s="11">
        <f t="shared" si="58"/>
        <v>358</v>
      </c>
      <c r="U180" s="11">
        <f t="shared" si="58"/>
        <v>300</v>
      </c>
      <c r="V180" s="11">
        <f t="shared" si="58"/>
        <v>0</v>
      </c>
      <c r="W180" s="11">
        <f t="shared" si="58"/>
        <v>2916</v>
      </c>
      <c r="X180" s="62">
        <f t="shared" si="58"/>
        <v>0</v>
      </c>
      <c r="Y180" s="58">
        <f t="shared" si="38"/>
        <v>265730</v>
      </c>
      <c r="Z180" s="11"/>
      <c r="AA180" s="11">
        <f>AA181+AA182</f>
        <v>0</v>
      </c>
      <c r="AB180" s="68">
        <f t="shared" si="56"/>
        <v>265730</v>
      </c>
    </row>
    <row r="181" spans="1:28" ht="12.75">
      <c r="A181" s="10" t="s">
        <v>23</v>
      </c>
      <c r="B181" s="11">
        <v>183742</v>
      </c>
      <c r="C181" s="9">
        <v>2664</v>
      </c>
      <c r="D181" s="47">
        <f t="shared" si="53"/>
        <v>186406</v>
      </c>
      <c r="E181" s="55">
        <f t="shared" si="39"/>
        <v>28973</v>
      </c>
      <c r="F181" s="9">
        <v>5072</v>
      </c>
      <c r="G181" s="9"/>
      <c r="H181" s="9">
        <v>250</v>
      </c>
      <c r="I181" s="9"/>
      <c r="J181" s="9"/>
      <c r="K181" s="9"/>
      <c r="L181" s="9"/>
      <c r="M181" s="9"/>
      <c r="N181" s="9"/>
      <c r="O181" s="9"/>
      <c r="P181" s="9">
        <f>Q181+R181+S181+T181</f>
        <v>20685</v>
      </c>
      <c r="Q181" s="9">
        <v>17085</v>
      </c>
      <c r="R181" s="9">
        <v>3000</v>
      </c>
      <c r="S181" s="9">
        <v>300</v>
      </c>
      <c r="T181" s="9">
        <v>300</v>
      </c>
      <c r="U181" s="9">
        <v>300</v>
      </c>
      <c r="V181" s="11"/>
      <c r="W181" s="9">
        <v>2666</v>
      </c>
      <c r="X181" s="63"/>
      <c r="Y181" s="58">
        <f t="shared" si="38"/>
        <v>215379</v>
      </c>
      <c r="Z181" s="9"/>
      <c r="AA181" s="9"/>
      <c r="AB181" s="68">
        <f>Y181+AA181</f>
        <v>215379</v>
      </c>
    </row>
    <row r="182" spans="1:28" ht="12.75">
      <c r="A182" s="10" t="s">
        <v>24</v>
      </c>
      <c r="B182" s="11">
        <v>38779</v>
      </c>
      <c r="C182" s="9">
        <v>563</v>
      </c>
      <c r="D182" s="47">
        <f t="shared" si="53"/>
        <v>39342</v>
      </c>
      <c r="E182" s="55">
        <f t="shared" si="39"/>
        <v>11009</v>
      </c>
      <c r="F182" s="9"/>
      <c r="G182" s="9"/>
      <c r="H182" s="9">
        <v>280</v>
      </c>
      <c r="I182" s="9"/>
      <c r="J182" s="9"/>
      <c r="K182" s="9"/>
      <c r="L182" s="9"/>
      <c r="M182" s="9"/>
      <c r="N182" s="9"/>
      <c r="O182" s="9"/>
      <c r="P182" s="9">
        <f>Q182+R182+S182+T182</f>
        <v>10479</v>
      </c>
      <c r="Q182" s="9"/>
      <c r="R182" s="9">
        <v>9931</v>
      </c>
      <c r="S182" s="9">
        <v>490</v>
      </c>
      <c r="T182" s="9">
        <v>58</v>
      </c>
      <c r="U182" s="9"/>
      <c r="V182" s="9"/>
      <c r="W182" s="9">
        <v>250</v>
      </c>
      <c r="X182" s="63"/>
      <c r="Y182" s="58">
        <f t="shared" si="38"/>
        <v>50351</v>
      </c>
      <c r="Z182" s="9"/>
      <c r="AA182" s="9"/>
      <c r="AB182" s="68">
        <f>Y182+AA182</f>
        <v>50351</v>
      </c>
    </row>
    <row r="183" spans="1:28" ht="12.75">
      <c r="A183" s="9"/>
      <c r="B183" s="11">
        <f>B184+B185</f>
        <v>0</v>
      </c>
      <c r="C183" s="11">
        <f>C184+C185</f>
        <v>0</v>
      </c>
      <c r="D183" s="46"/>
      <c r="E183" s="55">
        <f t="shared" si="39"/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11">
        <f>L184+L185</f>
        <v>0</v>
      </c>
      <c r="M183" s="9"/>
      <c r="N183" s="9"/>
      <c r="O183" s="9"/>
      <c r="P183" s="11">
        <f>P184+P185</f>
        <v>0</v>
      </c>
      <c r="Q183" s="9"/>
      <c r="R183" s="9"/>
      <c r="S183" s="9"/>
      <c r="T183" s="9"/>
      <c r="U183" s="9"/>
      <c r="V183" s="9"/>
      <c r="W183" s="9"/>
      <c r="X183" s="63"/>
      <c r="Y183" s="58">
        <f t="shared" si="38"/>
        <v>0</v>
      </c>
      <c r="Z183" s="9"/>
      <c r="AA183" s="9"/>
      <c r="AB183" s="68">
        <f>Y183+AA183</f>
        <v>0</v>
      </c>
    </row>
    <row r="184" spans="1:28" ht="12.75">
      <c r="A184" s="10" t="s">
        <v>23</v>
      </c>
      <c r="B184" s="11"/>
      <c r="C184" s="11"/>
      <c r="D184" s="46"/>
      <c r="E184" s="55">
        <f t="shared" si="39"/>
        <v>0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>
        <f>Q184+R184+S184+T184</f>
        <v>0</v>
      </c>
      <c r="Q184" s="9"/>
      <c r="R184" s="9"/>
      <c r="S184" s="9"/>
      <c r="T184" s="9"/>
      <c r="U184" s="9"/>
      <c r="V184" s="9"/>
      <c r="W184" s="9"/>
      <c r="X184" s="63"/>
      <c r="Y184" s="58">
        <f t="shared" si="38"/>
        <v>0</v>
      </c>
      <c r="Z184" s="11"/>
      <c r="AA184" s="9"/>
      <c r="AB184" s="68">
        <f t="shared" si="56"/>
        <v>0</v>
      </c>
    </row>
    <row r="185" spans="1:28" ht="12.75">
      <c r="A185" s="10" t="s">
        <v>24</v>
      </c>
      <c r="B185" s="11">
        <v>0</v>
      </c>
      <c r="C185" s="11">
        <v>0</v>
      </c>
      <c r="D185" s="46"/>
      <c r="E185" s="55">
        <f t="shared" si="39"/>
        <v>0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>
        <f>Q185+R185+S185+T185</f>
        <v>0</v>
      </c>
      <c r="Q185" s="9"/>
      <c r="R185" s="9"/>
      <c r="S185" s="9"/>
      <c r="T185" s="9"/>
      <c r="U185" s="9"/>
      <c r="V185" s="9"/>
      <c r="W185" s="9"/>
      <c r="X185" s="63"/>
      <c r="Y185" s="58">
        <f t="shared" si="38"/>
        <v>0</v>
      </c>
      <c r="Z185" s="11"/>
      <c r="AA185" s="9"/>
      <c r="AB185" s="68">
        <f t="shared" si="56"/>
        <v>0</v>
      </c>
    </row>
    <row r="186" spans="1:28" ht="12.75">
      <c r="A186" s="9" t="s">
        <v>40</v>
      </c>
      <c r="B186" s="11">
        <f>B187+B188</f>
        <v>222537</v>
      </c>
      <c r="C186" s="11">
        <f>C187+C188</f>
        <v>3227</v>
      </c>
      <c r="D186" s="47">
        <f>B186+C186</f>
        <v>225764</v>
      </c>
      <c r="E186" s="55">
        <f t="shared" si="39"/>
        <v>34786</v>
      </c>
      <c r="F186" s="11">
        <f aca="true" t="shared" si="59" ref="F186:AA186">F187+F188</f>
        <v>5072</v>
      </c>
      <c r="G186" s="11">
        <f t="shared" si="59"/>
        <v>0</v>
      </c>
      <c r="H186" s="11">
        <f t="shared" si="59"/>
        <v>530</v>
      </c>
      <c r="I186" s="11">
        <f t="shared" si="59"/>
        <v>0</v>
      </c>
      <c r="J186" s="11">
        <f t="shared" si="59"/>
        <v>0</v>
      </c>
      <c r="K186" s="11">
        <f t="shared" si="59"/>
        <v>0</v>
      </c>
      <c r="L186" s="11">
        <f t="shared" si="59"/>
        <v>0</v>
      </c>
      <c r="M186" s="11">
        <f t="shared" si="59"/>
        <v>0</v>
      </c>
      <c r="N186" s="11">
        <f t="shared" si="59"/>
        <v>0</v>
      </c>
      <c r="O186" s="11">
        <f t="shared" si="59"/>
        <v>0</v>
      </c>
      <c r="P186" s="11">
        <f t="shared" si="59"/>
        <v>27643</v>
      </c>
      <c r="Q186" s="11">
        <f t="shared" si="59"/>
        <v>15680</v>
      </c>
      <c r="R186" s="11">
        <f t="shared" si="59"/>
        <v>10898</v>
      </c>
      <c r="S186" s="11">
        <f t="shared" si="59"/>
        <v>765</v>
      </c>
      <c r="T186" s="11">
        <f t="shared" si="59"/>
        <v>300</v>
      </c>
      <c r="U186" s="11">
        <f t="shared" si="59"/>
        <v>0</v>
      </c>
      <c r="V186" s="11">
        <f t="shared" si="59"/>
        <v>0</v>
      </c>
      <c r="W186" s="11">
        <f t="shared" si="59"/>
        <v>1541</v>
      </c>
      <c r="X186" s="62">
        <f t="shared" si="59"/>
        <v>0</v>
      </c>
      <c r="Y186" s="58">
        <f t="shared" si="38"/>
        <v>260550</v>
      </c>
      <c r="Z186" s="11">
        <f t="shared" si="59"/>
        <v>0</v>
      </c>
      <c r="AA186" s="11">
        <f t="shared" si="59"/>
        <v>0</v>
      </c>
      <c r="AB186" s="67">
        <f>AB187+AB188</f>
        <v>260550</v>
      </c>
    </row>
    <row r="187" spans="1:28" ht="12.75">
      <c r="A187" s="10" t="s">
        <v>23</v>
      </c>
      <c r="B187" s="9">
        <f>ROUND((B181*97)/100,0)+4764-3901</f>
        <v>179093</v>
      </c>
      <c r="C187" s="9">
        <f>ROUND((B187*1.45)/100,0)</f>
        <v>2597</v>
      </c>
      <c r="D187" s="47">
        <f>B187+C187</f>
        <v>181690</v>
      </c>
      <c r="E187" s="55">
        <f t="shared" si="39"/>
        <v>25943</v>
      </c>
      <c r="F187" s="9">
        <v>5072</v>
      </c>
      <c r="G187" s="9">
        <f aca="true" t="shared" si="60" ref="G187:O187">G178</f>
        <v>0</v>
      </c>
      <c r="H187" s="9">
        <v>250</v>
      </c>
      <c r="I187" s="9">
        <f>I181</f>
        <v>0</v>
      </c>
      <c r="J187" s="9">
        <f t="shared" si="60"/>
        <v>0</v>
      </c>
      <c r="K187" s="9">
        <f t="shared" si="60"/>
        <v>0</v>
      </c>
      <c r="L187" s="9"/>
      <c r="M187" s="9">
        <f t="shared" si="60"/>
        <v>0</v>
      </c>
      <c r="N187" s="9">
        <f t="shared" si="60"/>
        <v>0</v>
      </c>
      <c r="O187" s="9">
        <f t="shared" si="60"/>
        <v>0</v>
      </c>
      <c r="P187" s="9">
        <f>SUM(Q187:T187)</f>
        <v>19230</v>
      </c>
      <c r="Q187" s="9">
        <f>+Q178</f>
        <v>15680</v>
      </c>
      <c r="R187" s="9">
        <f aca="true" t="shared" si="61" ref="R187:T188">+R178</f>
        <v>3000</v>
      </c>
      <c r="S187" s="9">
        <f t="shared" si="61"/>
        <v>300</v>
      </c>
      <c r="T187" s="9">
        <f t="shared" si="61"/>
        <v>250</v>
      </c>
      <c r="U187" s="9">
        <f aca="true" t="shared" si="62" ref="U187:W188">+U178</f>
        <v>0</v>
      </c>
      <c r="V187" s="9">
        <f t="shared" si="62"/>
        <v>0</v>
      </c>
      <c r="W187" s="9">
        <f t="shared" si="62"/>
        <v>1391</v>
      </c>
      <c r="X187" s="63">
        <f>X178</f>
        <v>0</v>
      </c>
      <c r="Y187" s="58">
        <f t="shared" si="38"/>
        <v>207633</v>
      </c>
      <c r="Z187" s="11"/>
      <c r="AA187" s="9"/>
      <c r="AB187" s="68">
        <f>Y187+AA187</f>
        <v>207633</v>
      </c>
    </row>
    <row r="188" spans="1:28" ht="12.75">
      <c r="A188" s="10" t="s">
        <v>24</v>
      </c>
      <c r="B188" s="9">
        <f>ROUND((B182*97)/100,0)+1848+1980+456+1544</f>
        <v>43444</v>
      </c>
      <c r="C188" s="9">
        <f>ROUND((B188*1.45)/100,0)</f>
        <v>630</v>
      </c>
      <c r="D188" s="47">
        <f>B188+C188</f>
        <v>44074</v>
      </c>
      <c r="E188" s="55">
        <f t="shared" si="39"/>
        <v>8843</v>
      </c>
      <c r="F188" s="9">
        <f>F179</f>
        <v>0</v>
      </c>
      <c r="G188" s="9">
        <f aca="true" t="shared" si="63" ref="G188:O188">G179</f>
        <v>0</v>
      </c>
      <c r="H188" s="9">
        <v>280</v>
      </c>
      <c r="I188" s="9">
        <f>I182</f>
        <v>0</v>
      </c>
      <c r="J188" s="9">
        <f t="shared" si="63"/>
        <v>0</v>
      </c>
      <c r="K188" s="9">
        <f t="shared" si="63"/>
        <v>0</v>
      </c>
      <c r="L188" s="9"/>
      <c r="M188" s="9">
        <f t="shared" si="63"/>
        <v>0</v>
      </c>
      <c r="N188" s="9">
        <f t="shared" si="63"/>
        <v>0</v>
      </c>
      <c r="O188" s="9">
        <f t="shared" si="63"/>
        <v>0</v>
      </c>
      <c r="P188" s="9">
        <f>SUM(Q188:T188)</f>
        <v>8413</v>
      </c>
      <c r="Q188" s="9">
        <f>+Q179</f>
        <v>0</v>
      </c>
      <c r="R188" s="9">
        <f t="shared" si="61"/>
        <v>7898</v>
      </c>
      <c r="S188" s="9">
        <f t="shared" si="61"/>
        <v>465</v>
      </c>
      <c r="T188" s="9">
        <f t="shared" si="61"/>
        <v>50</v>
      </c>
      <c r="U188" s="9">
        <f t="shared" si="62"/>
        <v>0</v>
      </c>
      <c r="V188" s="9">
        <f t="shared" si="62"/>
        <v>0</v>
      </c>
      <c r="W188" s="9">
        <f t="shared" si="62"/>
        <v>150</v>
      </c>
      <c r="X188" s="63">
        <f>X179</f>
        <v>0</v>
      </c>
      <c r="Y188" s="58">
        <f t="shared" si="38"/>
        <v>52917</v>
      </c>
      <c r="Z188" s="11"/>
      <c r="AA188" s="9"/>
      <c r="AB188" s="68">
        <f>Y188+AA188</f>
        <v>52917</v>
      </c>
    </row>
    <row r="189" spans="1:28" ht="12.75">
      <c r="A189" s="10"/>
      <c r="B189" s="11"/>
      <c r="C189" s="11"/>
      <c r="D189" s="46"/>
      <c r="E189" s="55">
        <f t="shared" si="39"/>
        <v>0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1"/>
      <c r="R189" s="9"/>
      <c r="S189" s="9"/>
      <c r="T189" s="9"/>
      <c r="U189" s="9"/>
      <c r="V189" s="9"/>
      <c r="W189" s="9"/>
      <c r="X189" s="63"/>
      <c r="Y189" s="58">
        <f t="shared" si="38"/>
        <v>0</v>
      </c>
      <c r="Z189" s="9"/>
      <c r="AA189" s="9"/>
      <c r="AB189" s="68"/>
    </row>
    <row r="190" spans="1:29" ht="12.75">
      <c r="A190" s="22" t="s">
        <v>48</v>
      </c>
      <c r="B190" s="37"/>
      <c r="C190" s="37"/>
      <c r="D190" s="46"/>
      <c r="E190" s="55">
        <f t="shared" si="39"/>
        <v>0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62"/>
      <c r="Y190" s="58">
        <f t="shared" si="38"/>
        <v>0</v>
      </c>
      <c r="Z190" s="11"/>
      <c r="AA190" s="11"/>
      <c r="AB190" s="67"/>
      <c r="AC190">
        <v>30</v>
      </c>
    </row>
    <row r="191" spans="1:28" ht="12.75">
      <c r="A191" s="9" t="s">
        <v>72</v>
      </c>
      <c r="B191" s="11">
        <f>B192+B193</f>
        <v>182108</v>
      </c>
      <c r="C191" s="11">
        <f>C192+C193</f>
        <v>2673</v>
      </c>
      <c r="D191" s="47">
        <f aca="true" t="shared" si="64" ref="D191:D196">B191+C191</f>
        <v>184781</v>
      </c>
      <c r="E191" s="55">
        <f t="shared" si="39"/>
        <v>30002</v>
      </c>
      <c r="F191" s="11">
        <f aca="true" t="shared" si="65" ref="F191:O191">F192+F193</f>
        <v>2397</v>
      </c>
      <c r="G191" s="11">
        <f t="shared" si="65"/>
        <v>0</v>
      </c>
      <c r="H191" s="11">
        <f t="shared" si="65"/>
        <v>450</v>
      </c>
      <c r="I191" s="11">
        <f t="shared" si="65"/>
        <v>849</v>
      </c>
      <c r="J191" s="11">
        <f t="shared" si="65"/>
        <v>0</v>
      </c>
      <c r="K191" s="11">
        <f t="shared" si="65"/>
        <v>0</v>
      </c>
      <c r="L191" s="11">
        <f t="shared" si="65"/>
        <v>0</v>
      </c>
      <c r="M191" s="11">
        <f t="shared" si="65"/>
        <v>0</v>
      </c>
      <c r="N191" s="11">
        <f t="shared" si="65"/>
        <v>100</v>
      </c>
      <c r="O191" s="11">
        <f t="shared" si="65"/>
        <v>0</v>
      </c>
      <c r="P191" s="13">
        <f aca="true" t="shared" si="66" ref="P191:X191">P192+P193</f>
        <v>22818</v>
      </c>
      <c r="Q191" s="11">
        <f t="shared" si="66"/>
        <v>15124</v>
      </c>
      <c r="R191" s="11">
        <f t="shared" si="66"/>
        <v>5925</v>
      </c>
      <c r="S191" s="11">
        <f t="shared" si="66"/>
        <v>1345</v>
      </c>
      <c r="T191" s="11">
        <f t="shared" si="66"/>
        <v>424</v>
      </c>
      <c r="U191" s="11">
        <f t="shared" si="66"/>
        <v>0</v>
      </c>
      <c r="V191" s="11">
        <f t="shared" si="66"/>
        <v>0</v>
      </c>
      <c r="W191" s="11">
        <f t="shared" si="66"/>
        <v>3388</v>
      </c>
      <c r="X191" s="62">
        <f t="shared" si="66"/>
        <v>8733</v>
      </c>
      <c r="Y191" s="58">
        <f t="shared" si="38"/>
        <v>223516</v>
      </c>
      <c r="Z191" s="11"/>
      <c r="AA191" s="11">
        <f>AA192+AA193</f>
        <v>0</v>
      </c>
      <c r="AB191" s="67">
        <f>AB192+AB193</f>
        <v>223516</v>
      </c>
    </row>
    <row r="192" spans="1:28" ht="12.75">
      <c r="A192" s="10" t="s">
        <v>76</v>
      </c>
      <c r="B192" s="11">
        <v>158103</v>
      </c>
      <c r="C192" s="11">
        <v>2292</v>
      </c>
      <c r="D192" s="47">
        <f t="shared" si="64"/>
        <v>160395</v>
      </c>
      <c r="E192" s="55">
        <f t="shared" si="39"/>
        <v>27493</v>
      </c>
      <c r="F192" s="11">
        <v>2397</v>
      </c>
      <c r="G192" s="11"/>
      <c r="H192" s="11">
        <v>310</v>
      </c>
      <c r="I192" s="11">
        <v>849</v>
      </c>
      <c r="J192" s="11"/>
      <c r="K192" s="11"/>
      <c r="L192" s="11"/>
      <c r="M192" s="11"/>
      <c r="N192" s="11">
        <v>100</v>
      </c>
      <c r="O192" s="11">
        <v>0</v>
      </c>
      <c r="P192" s="9">
        <f>Q192+R192+S192+T192</f>
        <v>20840</v>
      </c>
      <c r="Q192" s="11">
        <v>13146</v>
      </c>
      <c r="R192" s="11">
        <v>5925</v>
      </c>
      <c r="S192" s="11">
        <v>1345</v>
      </c>
      <c r="T192" s="11">
        <v>424</v>
      </c>
      <c r="U192" s="11"/>
      <c r="V192" s="11"/>
      <c r="W192" s="11">
        <v>2997</v>
      </c>
      <c r="X192" s="62">
        <v>8733</v>
      </c>
      <c r="Y192" s="58">
        <f t="shared" si="38"/>
        <v>196621</v>
      </c>
      <c r="Z192" s="11"/>
      <c r="AA192" s="11"/>
      <c r="AB192" s="68">
        <f aca="true" t="shared" si="67" ref="AB192:AB202">Y192+AA192</f>
        <v>196621</v>
      </c>
    </row>
    <row r="193" spans="1:28" ht="12.75">
      <c r="A193" s="10" t="s">
        <v>77</v>
      </c>
      <c r="B193" s="11">
        <v>24005</v>
      </c>
      <c r="C193" s="11">
        <v>381</v>
      </c>
      <c r="D193" s="47">
        <f t="shared" si="64"/>
        <v>24386</v>
      </c>
      <c r="E193" s="55">
        <f t="shared" si="39"/>
        <v>2509</v>
      </c>
      <c r="F193" s="11"/>
      <c r="G193" s="11"/>
      <c r="H193" s="11">
        <v>140</v>
      </c>
      <c r="I193" s="11"/>
      <c r="J193" s="11"/>
      <c r="K193" s="11"/>
      <c r="L193" s="11"/>
      <c r="M193" s="11"/>
      <c r="N193" s="11"/>
      <c r="O193" s="11"/>
      <c r="P193" s="9">
        <f>Q193+R193+S193+T193</f>
        <v>1978</v>
      </c>
      <c r="Q193" s="11">
        <v>1978</v>
      </c>
      <c r="R193" s="11"/>
      <c r="S193" s="11"/>
      <c r="T193" s="11"/>
      <c r="U193" s="11"/>
      <c r="V193" s="11"/>
      <c r="W193" s="11">
        <v>391</v>
      </c>
      <c r="X193" s="62"/>
      <c r="Y193" s="58">
        <f t="shared" si="38"/>
        <v>26895</v>
      </c>
      <c r="Z193" s="11"/>
      <c r="AA193" s="11"/>
      <c r="AB193" s="68">
        <f t="shared" si="67"/>
        <v>26895</v>
      </c>
    </row>
    <row r="194" spans="1:28" ht="12.75">
      <c r="A194" s="9" t="s">
        <v>74</v>
      </c>
      <c r="B194" s="11">
        <f>B195+B196</f>
        <v>185397</v>
      </c>
      <c r="C194" s="11">
        <f>C195+C196</f>
        <v>2688</v>
      </c>
      <c r="D194" s="47">
        <f t="shared" si="64"/>
        <v>188085</v>
      </c>
      <c r="E194" s="55">
        <f t="shared" si="39"/>
        <v>32238</v>
      </c>
      <c r="F194" s="11">
        <f aca="true" t="shared" si="68" ref="F194:O194">F195+F196</f>
        <v>2400</v>
      </c>
      <c r="G194" s="11">
        <f t="shared" si="68"/>
        <v>0</v>
      </c>
      <c r="H194" s="11">
        <f t="shared" si="68"/>
        <v>375</v>
      </c>
      <c r="I194" s="11">
        <f t="shared" si="68"/>
        <v>1748</v>
      </c>
      <c r="J194" s="11">
        <f t="shared" si="68"/>
        <v>0</v>
      </c>
      <c r="K194" s="11">
        <f t="shared" si="68"/>
        <v>0</v>
      </c>
      <c r="L194" s="11"/>
      <c r="M194" s="11">
        <f t="shared" si="68"/>
        <v>0</v>
      </c>
      <c r="N194" s="11">
        <f t="shared" si="68"/>
        <v>320</v>
      </c>
      <c r="O194" s="11">
        <f t="shared" si="68"/>
        <v>0</v>
      </c>
      <c r="P194" s="11">
        <f aca="true" t="shared" si="69" ref="P194:AB194">P195+P196</f>
        <v>23025</v>
      </c>
      <c r="Q194" s="11">
        <f t="shared" si="69"/>
        <v>13146</v>
      </c>
      <c r="R194" s="11">
        <f t="shared" si="69"/>
        <v>7960</v>
      </c>
      <c r="S194" s="11">
        <f t="shared" si="69"/>
        <v>1346</v>
      </c>
      <c r="T194" s="11">
        <f t="shared" si="69"/>
        <v>573</v>
      </c>
      <c r="U194" s="11">
        <f t="shared" si="69"/>
        <v>0</v>
      </c>
      <c r="V194" s="11">
        <f t="shared" si="69"/>
        <v>0</v>
      </c>
      <c r="W194" s="11">
        <f t="shared" si="69"/>
        <v>4370</v>
      </c>
      <c r="X194" s="62">
        <f t="shared" si="69"/>
        <v>7076</v>
      </c>
      <c r="Y194" s="58">
        <f t="shared" si="38"/>
        <v>227399</v>
      </c>
      <c r="Z194" s="11">
        <f t="shared" si="69"/>
        <v>0</v>
      </c>
      <c r="AA194" s="11">
        <f t="shared" si="69"/>
        <v>0</v>
      </c>
      <c r="AB194" s="67">
        <f t="shared" si="69"/>
        <v>227399</v>
      </c>
    </row>
    <row r="195" spans="1:28" ht="12.75">
      <c r="A195" s="10" t="s">
        <v>23</v>
      </c>
      <c r="B195" s="15">
        <v>161261</v>
      </c>
      <c r="C195" s="9">
        <v>2338</v>
      </c>
      <c r="D195" s="47">
        <f t="shared" si="64"/>
        <v>163599</v>
      </c>
      <c r="E195" s="55">
        <f aca="true" t="shared" si="70" ref="E195:E216">F195+G195+H195+I195+J195+K195+L195+M195+N195+O195+P195+U195+V195+W195</f>
        <v>29809</v>
      </c>
      <c r="F195" s="9">
        <v>2400</v>
      </c>
      <c r="G195" s="9"/>
      <c r="H195" s="9">
        <v>224</v>
      </c>
      <c r="I195" s="9">
        <v>1748</v>
      </c>
      <c r="J195" s="9"/>
      <c r="K195" s="9"/>
      <c r="L195" s="9"/>
      <c r="M195" s="9"/>
      <c r="N195" s="9">
        <v>320</v>
      </c>
      <c r="O195" s="9"/>
      <c r="P195" s="9">
        <f>Q195+R195+S195+T195</f>
        <v>21147</v>
      </c>
      <c r="Q195" s="20">
        <v>11268</v>
      </c>
      <c r="R195" s="9">
        <v>7960</v>
      </c>
      <c r="S195" s="9">
        <v>1346</v>
      </c>
      <c r="T195" s="9">
        <v>573</v>
      </c>
      <c r="U195" s="9"/>
      <c r="V195" s="9"/>
      <c r="W195" s="9">
        <v>3970</v>
      </c>
      <c r="X195" s="63">
        <v>7076</v>
      </c>
      <c r="Y195" s="58">
        <f t="shared" si="38"/>
        <v>200484</v>
      </c>
      <c r="Z195" s="9"/>
      <c r="AA195" s="9"/>
      <c r="AB195" s="68">
        <f t="shared" si="67"/>
        <v>200484</v>
      </c>
    </row>
    <row r="196" spans="1:28" ht="12.75">
      <c r="A196" s="10" t="s">
        <v>24</v>
      </c>
      <c r="B196" s="11">
        <v>24136</v>
      </c>
      <c r="C196" s="9">
        <v>350</v>
      </c>
      <c r="D196" s="47">
        <f t="shared" si="64"/>
        <v>24486</v>
      </c>
      <c r="E196" s="55">
        <f t="shared" si="70"/>
        <v>2429</v>
      </c>
      <c r="F196" s="9"/>
      <c r="G196" s="9"/>
      <c r="H196" s="9">
        <v>151</v>
      </c>
      <c r="I196" s="9"/>
      <c r="J196" s="9"/>
      <c r="K196" s="9"/>
      <c r="L196" s="9"/>
      <c r="M196" s="9"/>
      <c r="N196" s="9"/>
      <c r="O196" s="9"/>
      <c r="P196" s="9">
        <f>Q196+R196+S196+T196</f>
        <v>1878</v>
      </c>
      <c r="Q196" s="20">
        <v>1878</v>
      </c>
      <c r="R196" s="9"/>
      <c r="S196" s="9"/>
      <c r="T196" s="9"/>
      <c r="U196" s="9"/>
      <c r="V196" s="9"/>
      <c r="W196" s="9">
        <v>400</v>
      </c>
      <c r="X196" s="63"/>
      <c r="Y196" s="58">
        <f t="shared" si="38"/>
        <v>26915</v>
      </c>
      <c r="Z196" s="9"/>
      <c r="AA196" s="9"/>
      <c r="AB196" s="68">
        <f t="shared" si="67"/>
        <v>26915</v>
      </c>
    </row>
    <row r="197" spans="1:28" ht="12.75">
      <c r="A197" s="9"/>
      <c r="B197" s="11">
        <f>B198+B199</f>
        <v>0</v>
      </c>
      <c r="C197" s="11">
        <f aca="true" t="shared" si="71" ref="C197:AB197">C198+C199</f>
        <v>0</v>
      </c>
      <c r="D197" s="46"/>
      <c r="E197" s="55">
        <f t="shared" si="70"/>
        <v>0</v>
      </c>
      <c r="F197" s="11">
        <f t="shared" si="71"/>
        <v>0</v>
      </c>
      <c r="G197" s="11">
        <f t="shared" si="71"/>
        <v>0</v>
      </c>
      <c r="H197" s="11">
        <f t="shared" si="71"/>
        <v>0</v>
      </c>
      <c r="I197" s="11">
        <f t="shared" si="71"/>
        <v>0</v>
      </c>
      <c r="J197" s="11">
        <f t="shared" si="71"/>
        <v>0</v>
      </c>
      <c r="K197" s="11">
        <f t="shared" si="71"/>
        <v>0</v>
      </c>
      <c r="L197" s="11">
        <f t="shared" si="71"/>
        <v>0</v>
      </c>
      <c r="M197" s="11">
        <f t="shared" si="71"/>
        <v>0</v>
      </c>
      <c r="N197" s="11">
        <f t="shared" si="71"/>
        <v>0</v>
      </c>
      <c r="O197" s="11">
        <f t="shared" si="71"/>
        <v>0</v>
      </c>
      <c r="P197" s="11">
        <f t="shared" si="71"/>
        <v>0</v>
      </c>
      <c r="Q197" s="11">
        <f t="shared" si="71"/>
        <v>0</v>
      </c>
      <c r="R197" s="11">
        <f t="shared" si="71"/>
        <v>0</v>
      </c>
      <c r="S197" s="11">
        <f t="shared" si="71"/>
        <v>0</v>
      </c>
      <c r="T197" s="11"/>
      <c r="U197" s="11">
        <f t="shared" si="71"/>
        <v>0</v>
      </c>
      <c r="V197" s="11">
        <f t="shared" si="71"/>
        <v>0</v>
      </c>
      <c r="W197" s="11">
        <f t="shared" si="71"/>
        <v>0</v>
      </c>
      <c r="X197" s="62">
        <f t="shared" si="71"/>
        <v>0</v>
      </c>
      <c r="Y197" s="58">
        <f t="shared" si="38"/>
        <v>0</v>
      </c>
      <c r="Z197" s="11">
        <f t="shared" si="71"/>
        <v>0</v>
      </c>
      <c r="AA197" s="11">
        <f t="shared" si="71"/>
        <v>0</v>
      </c>
      <c r="AB197" s="67">
        <f t="shared" si="71"/>
        <v>0</v>
      </c>
    </row>
    <row r="198" spans="1:28" ht="12.75">
      <c r="A198" s="10" t="s">
        <v>23</v>
      </c>
      <c r="B198" s="11">
        <v>0</v>
      </c>
      <c r="C198" s="11">
        <v>0</v>
      </c>
      <c r="D198" s="46"/>
      <c r="E198" s="55">
        <f t="shared" si="70"/>
        <v>0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>
        <f>Q198+R198+S198+T198</f>
        <v>0</v>
      </c>
      <c r="Q198" s="9"/>
      <c r="S198" s="9"/>
      <c r="T198" s="9"/>
      <c r="U198" s="9"/>
      <c r="V198" s="9"/>
      <c r="W198" s="9"/>
      <c r="X198" s="63"/>
      <c r="Y198" s="58">
        <f t="shared" si="38"/>
        <v>0</v>
      </c>
      <c r="Z198" s="11"/>
      <c r="AA198" s="9"/>
      <c r="AB198" s="68">
        <f t="shared" si="67"/>
        <v>0</v>
      </c>
    </row>
    <row r="199" spans="1:28" ht="12.75">
      <c r="A199" s="10" t="s">
        <v>24</v>
      </c>
      <c r="B199" s="11"/>
      <c r="C199" s="11"/>
      <c r="D199" s="46"/>
      <c r="E199" s="55">
        <f t="shared" si="70"/>
        <v>0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>
        <f>Q199+R199+S199+T199</f>
        <v>0</v>
      </c>
      <c r="Q199" s="9"/>
      <c r="R199" s="9"/>
      <c r="S199" s="9"/>
      <c r="T199" s="9"/>
      <c r="U199" s="9"/>
      <c r="V199" s="9"/>
      <c r="W199" s="9"/>
      <c r="X199" s="63"/>
      <c r="Y199" s="58">
        <f t="shared" si="38"/>
        <v>0</v>
      </c>
      <c r="Z199" s="11"/>
      <c r="AA199" s="9"/>
      <c r="AB199" s="68">
        <f t="shared" si="67"/>
        <v>0</v>
      </c>
    </row>
    <row r="200" spans="1:28" ht="12.75">
      <c r="A200" s="9" t="s">
        <v>40</v>
      </c>
      <c r="B200" s="9">
        <f>B201+B202</f>
        <v>222093</v>
      </c>
      <c r="C200" s="9">
        <f>C201+C202</f>
        <v>3221</v>
      </c>
      <c r="D200" s="47">
        <f>B200+C200</f>
        <v>225314</v>
      </c>
      <c r="E200" s="55">
        <f t="shared" si="70"/>
        <v>30150</v>
      </c>
      <c r="F200" s="11">
        <f>F201+F202</f>
        <v>2400</v>
      </c>
      <c r="G200" s="9"/>
      <c r="H200" s="11">
        <f>H201+H202</f>
        <v>375</v>
      </c>
      <c r="I200" s="11">
        <f aca="true" t="shared" si="72" ref="I200:O200">I201+I202</f>
        <v>849</v>
      </c>
      <c r="J200" s="11">
        <f t="shared" si="72"/>
        <v>0</v>
      </c>
      <c r="K200" s="11">
        <f t="shared" si="72"/>
        <v>0</v>
      </c>
      <c r="L200" s="11">
        <f t="shared" si="72"/>
        <v>0</v>
      </c>
      <c r="M200" s="11">
        <f t="shared" si="72"/>
        <v>0</v>
      </c>
      <c r="N200" s="11">
        <f t="shared" si="72"/>
        <v>320</v>
      </c>
      <c r="O200" s="11">
        <f t="shared" si="72"/>
        <v>0</v>
      </c>
      <c r="P200" s="11">
        <f>P201+P202</f>
        <v>22818</v>
      </c>
      <c r="Q200" s="23">
        <f aca="true" t="shared" si="73" ref="Q200:X200">Q201+Q202</f>
        <v>15124</v>
      </c>
      <c r="R200" s="11">
        <f t="shared" si="73"/>
        <v>5925</v>
      </c>
      <c r="S200" s="11">
        <f t="shared" si="73"/>
        <v>1345</v>
      </c>
      <c r="T200" s="11">
        <f t="shared" si="73"/>
        <v>424</v>
      </c>
      <c r="U200" s="11">
        <f t="shared" si="73"/>
        <v>0</v>
      </c>
      <c r="V200" s="11">
        <f t="shared" si="73"/>
        <v>0</v>
      </c>
      <c r="W200" s="11">
        <f t="shared" si="73"/>
        <v>3388</v>
      </c>
      <c r="X200" s="62">
        <f t="shared" si="73"/>
        <v>5178</v>
      </c>
      <c r="Y200" s="58">
        <f aca="true" t="shared" si="74" ref="Y200:Y216">D200+E200+X200</f>
        <v>260642</v>
      </c>
      <c r="Z200" s="11"/>
      <c r="AA200" s="9"/>
      <c r="AB200" s="68">
        <f t="shared" si="67"/>
        <v>260642</v>
      </c>
    </row>
    <row r="201" spans="1:28" ht="12.75">
      <c r="A201" s="10" t="s">
        <v>23</v>
      </c>
      <c r="B201" s="9">
        <f>ROUND((B195*97)/100,0)+5031+33134</f>
        <v>194588</v>
      </c>
      <c r="C201" s="9">
        <f>ROUND((B201*1.45)/100,0)</f>
        <v>2822</v>
      </c>
      <c r="D201" s="47">
        <f>B201+C201</f>
        <v>197410</v>
      </c>
      <c r="E201" s="55">
        <f t="shared" si="70"/>
        <v>27630</v>
      </c>
      <c r="F201" s="9">
        <v>2400</v>
      </c>
      <c r="G201" s="9">
        <f aca="true" t="shared" si="75" ref="G201:O201">G192</f>
        <v>0</v>
      </c>
      <c r="H201" s="9">
        <v>224</v>
      </c>
      <c r="I201" s="9">
        <v>849</v>
      </c>
      <c r="J201" s="9">
        <f t="shared" si="75"/>
        <v>0</v>
      </c>
      <c r="K201" s="9">
        <f t="shared" si="75"/>
        <v>0</v>
      </c>
      <c r="L201" s="9"/>
      <c r="M201" s="9">
        <f t="shared" si="75"/>
        <v>0</v>
      </c>
      <c r="N201" s="9">
        <v>320</v>
      </c>
      <c r="O201" s="9">
        <f t="shared" si="75"/>
        <v>0</v>
      </c>
      <c r="P201" s="9">
        <f>SUM(Q201:T201)</f>
        <v>20840</v>
      </c>
      <c r="Q201" s="20">
        <f>+Q192</f>
        <v>13146</v>
      </c>
      <c r="R201" s="20">
        <f aca="true" t="shared" si="76" ref="R201:T202">+R192</f>
        <v>5925</v>
      </c>
      <c r="S201" s="20">
        <f t="shared" si="76"/>
        <v>1345</v>
      </c>
      <c r="T201" s="20">
        <f t="shared" si="76"/>
        <v>424</v>
      </c>
      <c r="U201" s="9">
        <f aca="true" t="shared" si="77" ref="U201:W202">+U192</f>
        <v>0</v>
      </c>
      <c r="V201" s="9">
        <f t="shared" si="77"/>
        <v>0</v>
      </c>
      <c r="W201" s="9">
        <f t="shared" si="77"/>
        <v>2997</v>
      </c>
      <c r="X201" s="63">
        <v>5178</v>
      </c>
      <c r="Y201" s="58">
        <f t="shared" si="74"/>
        <v>230218</v>
      </c>
      <c r="Z201" s="11"/>
      <c r="AA201" s="9"/>
      <c r="AB201" s="68">
        <f>Y201+AA201</f>
        <v>230218</v>
      </c>
    </row>
    <row r="202" spans="1:28" ht="12.75">
      <c r="A202" s="10" t="s">
        <v>24</v>
      </c>
      <c r="B202" s="9">
        <f>ROUND((B196*97)/100,0)+1201+1980+912</f>
        <v>27505</v>
      </c>
      <c r="C202" s="9">
        <f>ROUND((B202*1.45)/100,0)</f>
        <v>399</v>
      </c>
      <c r="D202" s="47">
        <f>B202+C202</f>
        <v>27904</v>
      </c>
      <c r="E202" s="55">
        <f t="shared" si="70"/>
        <v>2520</v>
      </c>
      <c r="F202" s="9">
        <f>F193</f>
        <v>0</v>
      </c>
      <c r="G202" s="9">
        <f aca="true" t="shared" si="78" ref="G202:O202">G193</f>
        <v>0</v>
      </c>
      <c r="H202" s="9">
        <v>151</v>
      </c>
      <c r="I202" s="9"/>
      <c r="J202" s="9">
        <f t="shared" si="78"/>
        <v>0</v>
      </c>
      <c r="K202" s="9">
        <f t="shared" si="78"/>
        <v>0</v>
      </c>
      <c r="L202" s="9"/>
      <c r="M202" s="9">
        <f t="shared" si="78"/>
        <v>0</v>
      </c>
      <c r="N202" s="9">
        <f t="shared" si="78"/>
        <v>0</v>
      </c>
      <c r="O202" s="9">
        <f t="shared" si="78"/>
        <v>0</v>
      </c>
      <c r="P202" s="9">
        <f>SUM(Q202:T202)</f>
        <v>1978</v>
      </c>
      <c r="Q202" s="20">
        <f>+Q193</f>
        <v>1978</v>
      </c>
      <c r="R202" s="20">
        <f t="shared" si="76"/>
        <v>0</v>
      </c>
      <c r="S202" s="20">
        <f t="shared" si="76"/>
        <v>0</v>
      </c>
      <c r="T202" s="20">
        <f t="shared" si="76"/>
        <v>0</v>
      </c>
      <c r="U202" s="9">
        <f t="shared" si="77"/>
        <v>0</v>
      </c>
      <c r="V202" s="9">
        <f t="shared" si="77"/>
        <v>0</v>
      </c>
      <c r="W202" s="9">
        <f t="shared" si="77"/>
        <v>391</v>
      </c>
      <c r="X202" s="63">
        <f>X193</f>
        <v>0</v>
      </c>
      <c r="Y202" s="58">
        <f t="shared" si="74"/>
        <v>30424</v>
      </c>
      <c r="Z202" s="11"/>
      <c r="AA202" s="9"/>
      <c r="AB202" s="68">
        <f t="shared" si="67"/>
        <v>30424</v>
      </c>
    </row>
    <row r="203" spans="1:28" ht="15" customHeight="1">
      <c r="A203" s="10"/>
      <c r="B203" s="11"/>
      <c r="C203" s="11"/>
      <c r="D203" s="46"/>
      <c r="E203" s="55">
        <f t="shared" si="70"/>
        <v>0</v>
      </c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11"/>
      <c r="R203" s="9"/>
      <c r="S203" s="9"/>
      <c r="T203" s="9"/>
      <c r="U203" s="9"/>
      <c r="V203" s="9"/>
      <c r="W203" s="9"/>
      <c r="X203" s="63"/>
      <c r="Y203" s="58">
        <f t="shared" si="74"/>
        <v>0</v>
      </c>
      <c r="Z203" s="9"/>
      <c r="AA203" s="9"/>
      <c r="AB203" s="68"/>
    </row>
    <row r="204" spans="1:29" ht="12.75">
      <c r="A204" s="18" t="s">
        <v>22</v>
      </c>
      <c r="B204" s="11"/>
      <c r="C204" s="11"/>
      <c r="D204" s="46"/>
      <c r="E204" s="55">
        <f t="shared" si="70"/>
        <v>0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3"/>
      <c r="R204" s="11"/>
      <c r="S204" s="11"/>
      <c r="T204" s="11"/>
      <c r="U204" s="11"/>
      <c r="V204" s="11"/>
      <c r="W204" s="11"/>
      <c r="X204" s="62"/>
      <c r="Y204" s="58">
        <f t="shared" si="74"/>
        <v>0</v>
      </c>
      <c r="Z204" s="11"/>
      <c r="AA204" s="11"/>
      <c r="AB204" s="67"/>
      <c r="AC204">
        <v>31</v>
      </c>
    </row>
    <row r="205" spans="1:28" ht="12.75">
      <c r="A205" s="10" t="s">
        <v>68</v>
      </c>
      <c r="B205" s="11">
        <v>148572</v>
      </c>
      <c r="C205" s="9">
        <v>2630</v>
      </c>
      <c r="D205" s="47">
        <f>B205+C205</f>
        <v>151202</v>
      </c>
      <c r="E205" s="55">
        <f t="shared" si="70"/>
        <v>5637</v>
      </c>
      <c r="F205" s="9"/>
      <c r="G205" s="9"/>
      <c r="H205" s="9">
        <v>700</v>
      </c>
      <c r="I205" s="9"/>
      <c r="J205" s="9"/>
      <c r="K205" s="9"/>
      <c r="L205" s="9"/>
      <c r="M205" s="9"/>
      <c r="N205" s="9"/>
      <c r="O205" s="9"/>
      <c r="P205" s="9">
        <f>Q205+R205+S205+T205</f>
        <v>4240</v>
      </c>
      <c r="Q205" s="9">
        <v>2690</v>
      </c>
      <c r="R205" s="13">
        <v>1550</v>
      </c>
      <c r="S205" s="13"/>
      <c r="T205" s="13"/>
      <c r="U205" s="9"/>
      <c r="V205" s="9"/>
      <c r="W205" s="9">
        <v>697</v>
      </c>
      <c r="X205" s="63"/>
      <c r="Y205" s="58">
        <f t="shared" si="74"/>
        <v>156839</v>
      </c>
      <c r="Z205" s="9"/>
      <c r="AA205" s="9"/>
      <c r="AB205" s="68">
        <f>Y205+AA205</f>
        <v>156839</v>
      </c>
    </row>
    <row r="206" spans="1:29" ht="12.75">
      <c r="A206" s="10" t="s">
        <v>53</v>
      </c>
      <c r="B206" s="35">
        <v>170447</v>
      </c>
      <c r="C206" s="34">
        <v>3055</v>
      </c>
      <c r="D206" s="47">
        <f>B206+C206</f>
        <v>173502</v>
      </c>
      <c r="E206" s="55">
        <f t="shared" si="70"/>
        <v>7096</v>
      </c>
      <c r="F206" s="9"/>
      <c r="G206" s="9"/>
      <c r="H206" s="9">
        <v>770</v>
      </c>
      <c r="I206" s="9">
        <v>960</v>
      </c>
      <c r="J206" s="9"/>
      <c r="K206" s="9"/>
      <c r="L206" s="9"/>
      <c r="M206" s="9"/>
      <c r="N206" s="9"/>
      <c r="O206" s="9"/>
      <c r="P206" s="9">
        <f>Q206+R206+S206+T206</f>
        <v>4166</v>
      </c>
      <c r="Q206" s="9">
        <v>2690</v>
      </c>
      <c r="R206" s="9">
        <v>1476</v>
      </c>
      <c r="S206" s="9"/>
      <c r="T206" s="9"/>
      <c r="U206" s="9"/>
      <c r="V206" s="9"/>
      <c r="W206" s="9">
        <v>1200</v>
      </c>
      <c r="X206" s="63"/>
      <c r="Y206" s="58">
        <f t="shared" si="74"/>
        <v>180598</v>
      </c>
      <c r="Z206" s="9"/>
      <c r="AA206" s="9"/>
      <c r="AB206" s="68">
        <f>Y206+AA206</f>
        <v>180598</v>
      </c>
      <c r="AC206" s="27"/>
    </row>
    <row r="207" spans="1:28" ht="12.75">
      <c r="A207" s="36"/>
      <c r="B207" s="11"/>
      <c r="C207" s="9"/>
      <c r="D207" s="47"/>
      <c r="E207" s="55">
        <f t="shared" si="70"/>
        <v>0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>
        <f>Q207+R207+S207+T207</f>
        <v>0</v>
      </c>
      <c r="Q207" s="9">
        <v>0</v>
      </c>
      <c r="R207" s="9"/>
      <c r="S207" s="9"/>
      <c r="T207" s="9"/>
      <c r="U207" s="9">
        <v>0</v>
      </c>
      <c r="V207" s="9"/>
      <c r="W207" s="9"/>
      <c r="X207" s="63"/>
      <c r="Y207" s="58">
        <f t="shared" si="74"/>
        <v>0</v>
      </c>
      <c r="Z207" s="9"/>
      <c r="AA207" s="9"/>
      <c r="AB207" s="68">
        <f>Y207+AA207</f>
        <v>0</v>
      </c>
    </row>
    <row r="208" spans="1:28" ht="12.75">
      <c r="A208" s="10" t="s">
        <v>4</v>
      </c>
      <c r="B208" s="9">
        <f>ROUND((B206*97)/100,0)+6954-5896</f>
        <v>166392</v>
      </c>
      <c r="C208" s="9">
        <f>ROUND((B208*1.77)/100,0)+38</f>
        <v>2983</v>
      </c>
      <c r="D208" s="47">
        <f>B208+C208</f>
        <v>169375</v>
      </c>
      <c r="E208" s="55">
        <f t="shared" si="70"/>
        <v>7170</v>
      </c>
      <c r="F208" s="9">
        <f>F205</f>
        <v>0</v>
      </c>
      <c r="G208" s="9">
        <f aca="true" t="shared" si="79" ref="G208:O208">G205</f>
        <v>0</v>
      </c>
      <c r="H208" s="9">
        <v>770</v>
      </c>
      <c r="I208" s="9">
        <v>960</v>
      </c>
      <c r="J208" s="9">
        <f t="shared" si="79"/>
        <v>0</v>
      </c>
      <c r="K208" s="9">
        <f t="shared" si="79"/>
        <v>0</v>
      </c>
      <c r="L208" s="9">
        <f t="shared" si="79"/>
        <v>0</v>
      </c>
      <c r="M208" s="9">
        <f t="shared" si="79"/>
        <v>0</v>
      </c>
      <c r="N208" s="9">
        <f t="shared" si="79"/>
        <v>0</v>
      </c>
      <c r="O208" s="9">
        <f t="shared" si="79"/>
        <v>0</v>
      </c>
      <c r="P208" s="9">
        <f>SUM(Q208:T208)</f>
        <v>4240</v>
      </c>
      <c r="Q208" s="9">
        <f aca="true" t="shared" si="80" ref="Q208:V208">+Q205</f>
        <v>2690</v>
      </c>
      <c r="R208" s="9">
        <f t="shared" si="80"/>
        <v>1550</v>
      </c>
      <c r="S208" s="9">
        <f t="shared" si="80"/>
        <v>0</v>
      </c>
      <c r="T208" s="9">
        <f t="shared" si="80"/>
        <v>0</v>
      </c>
      <c r="U208" s="9">
        <f t="shared" si="80"/>
        <v>0</v>
      </c>
      <c r="V208" s="9">
        <f t="shared" si="80"/>
        <v>0</v>
      </c>
      <c r="W208" s="9">
        <f>+W205+503</f>
        <v>1200</v>
      </c>
      <c r="X208" s="63">
        <f>X205</f>
        <v>0</v>
      </c>
      <c r="Y208" s="58">
        <f t="shared" si="74"/>
        <v>176545</v>
      </c>
      <c r="Z208" s="11"/>
      <c r="AA208" s="9"/>
      <c r="AB208" s="68">
        <f>Y208+AA208</f>
        <v>176545</v>
      </c>
    </row>
    <row r="209" spans="2:28" ht="12.75">
      <c r="B209" s="11"/>
      <c r="C209" s="11"/>
      <c r="D209" s="46"/>
      <c r="E209" s="55">
        <f t="shared" si="70"/>
        <v>0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21"/>
      <c r="R209" s="9"/>
      <c r="S209" s="9"/>
      <c r="T209" s="9"/>
      <c r="U209" s="9">
        <f>+U206</f>
        <v>0</v>
      </c>
      <c r="V209" s="9">
        <f>+V206</f>
        <v>0</v>
      </c>
      <c r="W209" s="9"/>
      <c r="X209" s="63"/>
      <c r="Y209" s="58">
        <f t="shared" si="74"/>
        <v>0</v>
      </c>
      <c r="Z209" s="9"/>
      <c r="AA209" s="9"/>
      <c r="AB209" s="68"/>
    </row>
    <row r="210" spans="1:29" s="2" customFormat="1" ht="24">
      <c r="A210" s="19" t="s">
        <v>34</v>
      </c>
      <c r="B210" s="21"/>
      <c r="C210" s="21"/>
      <c r="D210" s="51"/>
      <c r="E210" s="55">
        <f t="shared" si="70"/>
        <v>0</v>
      </c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13"/>
      <c r="R210" s="21"/>
      <c r="S210" s="21"/>
      <c r="T210" s="21"/>
      <c r="U210" s="21"/>
      <c r="V210" s="21"/>
      <c r="W210" s="21"/>
      <c r="X210" s="64"/>
      <c r="Y210" s="58">
        <f t="shared" si="74"/>
        <v>0</v>
      </c>
      <c r="Z210" s="21"/>
      <c r="AA210" s="21"/>
      <c r="AB210" s="69"/>
      <c r="AC210" s="2">
        <v>32</v>
      </c>
    </row>
    <row r="211" spans="1:28" ht="12.75">
      <c r="A211" s="10" t="s">
        <v>68</v>
      </c>
      <c r="B211" s="11">
        <v>17248</v>
      </c>
      <c r="C211" s="9">
        <v>305</v>
      </c>
      <c r="D211" s="47">
        <f>B211+C211</f>
        <v>17553</v>
      </c>
      <c r="E211" s="55">
        <f t="shared" si="70"/>
        <v>4430</v>
      </c>
      <c r="F211" s="9"/>
      <c r="G211" s="9"/>
      <c r="H211" s="9">
        <v>40</v>
      </c>
      <c r="I211" s="9"/>
      <c r="J211" s="9"/>
      <c r="K211" s="9"/>
      <c r="L211" s="9"/>
      <c r="M211" s="9"/>
      <c r="N211" s="9"/>
      <c r="O211" s="9"/>
      <c r="P211" s="9">
        <f>Q211+R211+S211+T211</f>
        <v>4390</v>
      </c>
      <c r="Q211" s="9">
        <v>2690</v>
      </c>
      <c r="R211" s="13">
        <v>1320</v>
      </c>
      <c r="S211" s="13">
        <v>130</v>
      </c>
      <c r="T211" s="13">
        <v>250</v>
      </c>
      <c r="U211" s="9"/>
      <c r="V211" s="9"/>
      <c r="W211" s="9"/>
      <c r="X211" s="63"/>
      <c r="Y211" s="58">
        <f t="shared" si="74"/>
        <v>21983</v>
      </c>
      <c r="Z211" s="9"/>
      <c r="AA211" s="9"/>
      <c r="AB211" s="68">
        <f>Y211+AA211</f>
        <v>21983</v>
      </c>
    </row>
    <row r="212" spans="1:34" ht="12.75">
      <c r="A212" s="10" t="s">
        <v>75</v>
      </c>
      <c r="B212" s="35">
        <v>21463</v>
      </c>
      <c r="C212" s="34">
        <v>411</v>
      </c>
      <c r="D212" s="47">
        <f>B212+C212</f>
        <v>21874</v>
      </c>
      <c r="E212" s="55">
        <f t="shared" si="70"/>
        <v>5203</v>
      </c>
      <c r="F212" s="9"/>
      <c r="G212" s="9"/>
      <c r="H212" s="9">
        <v>40</v>
      </c>
      <c r="I212" s="9"/>
      <c r="J212" s="9"/>
      <c r="K212" s="9"/>
      <c r="L212" s="13"/>
      <c r="M212" s="9"/>
      <c r="N212" s="9"/>
      <c r="O212" s="9"/>
      <c r="P212" s="9">
        <f>Q212+R212+S212+T212</f>
        <v>4667</v>
      </c>
      <c r="Q212" s="9">
        <v>2690</v>
      </c>
      <c r="R212" s="9">
        <v>1617</v>
      </c>
      <c r="S212" s="9">
        <v>130</v>
      </c>
      <c r="T212" s="9">
        <v>230</v>
      </c>
      <c r="U212" s="9"/>
      <c r="V212" s="9"/>
      <c r="W212" s="9">
        <v>496</v>
      </c>
      <c r="X212" s="63"/>
      <c r="Y212" s="58">
        <f t="shared" si="74"/>
        <v>27077</v>
      </c>
      <c r="Z212" s="9"/>
      <c r="AA212" s="9"/>
      <c r="AB212" s="68">
        <f>Y212+AA212</f>
        <v>27077</v>
      </c>
      <c r="AC212" s="5"/>
      <c r="AD212" s="5"/>
      <c r="AE212" s="5"/>
      <c r="AF212" s="5"/>
      <c r="AG212" s="5"/>
      <c r="AH212" s="5"/>
    </row>
    <row r="213" spans="1:28" ht="12.75">
      <c r="A213" s="10"/>
      <c r="B213" s="11">
        <v>0</v>
      </c>
      <c r="C213" s="9"/>
      <c r="D213" s="47"/>
      <c r="E213" s="55">
        <f t="shared" si="70"/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f>Q213+R213+S213+T213</f>
        <v>0</v>
      </c>
      <c r="Q213" s="9">
        <v>0</v>
      </c>
      <c r="R213" s="9"/>
      <c r="S213" s="9"/>
      <c r="T213" s="9"/>
      <c r="U213" s="9">
        <v>0</v>
      </c>
      <c r="V213" s="9"/>
      <c r="W213" s="9"/>
      <c r="X213" s="63"/>
      <c r="Y213" s="58">
        <f t="shared" si="74"/>
        <v>0</v>
      </c>
      <c r="Z213" s="9"/>
      <c r="AA213" s="9"/>
      <c r="AB213" s="68">
        <f>Y213+AA213</f>
        <v>0</v>
      </c>
    </row>
    <row r="214" spans="1:30" ht="12.75">
      <c r="A214" s="10" t="s">
        <v>4</v>
      </c>
      <c r="B214" s="9">
        <f>ROUND((B212*97)/100,0)+496</f>
        <v>21315</v>
      </c>
      <c r="C214" s="9">
        <f>ROUND((B214*1.77)/100,0)+30</f>
        <v>407</v>
      </c>
      <c r="D214" s="47">
        <f>B214+C214</f>
        <v>21722</v>
      </c>
      <c r="E214" s="55">
        <f t="shared" si="70"/>
        <v>4926</v>
      </c>
      <c r="F214" s="9">
        <f>F211</f>
        <v>0</v>
      </c>
      <c r="G214" s="9">
        <f aca="true" t="shared" si="81" ref="G214:O214">G211</f>
        <v>0</v>
      </c>
      <c r="H214" s="9">
        <v>40</v>
      </c>
      <c r="I214" s="9">
        <f>I212</f>
        <v>0</v>
      </c>
      <c r="J214" s="9">
        <f t="shared" si="81"/>
        <v>0</v>
      </c>
      <c r="K214" s="9">
        <f t="shared" si="81"/>
        <v>0</v>
      </c>
      <c r="L214" s="9">
        <f t="shared" si="81"/>
        <v>0</v>
      </c>
      <c r="M214" s="9">
        <f t="shared" si="81"/>
        <v>0</v>
      </c>
      <c r="N214" s="9">
        <f t="shared" si="81"/>
        <v>0</v>
      </c>
      <c r="O214" s="9">
        <f t="shared" si="81"/>
        <v>0</v>
      </c>
      <c r="P214" s="9">
        <f>SUM(Q214:T214)</f>
        <v>4390</v>
      </c>
      <c r="Q214" s="9">
        <f aca="true" t="shared" si="82" ref="Q214:V214">+Q211</f>
        <v>2690</v>
      </c>
      <c r="R214" s="9">
        <f t="shared" si="82"/>
        <v>1320</v>
      </c>
      <c r="S214" s="9">
        <f t="shared" si="82"/>
        <v>130</v>
      </c>
      <c r="T214" s="9">
        <f t="shared" si="82"/>
        <v>250</v>
      </c>
      <c r="U214" s="9">
        <f t="shared" si="82"/>
        <v>0</v>
      </c>
      <c r="V214" s="9">
        <f t="shared" si="82"/>
        <v>0</v>
      </c>
      <c r="W214" s="9">
        <v>496</v>
      </c>
      <c r="X214" s="63">
        <f>X211</f>
        <v>0</v>
      </c>
      <c r="Y214" s="58">
        <f t="shared" si="74"/>
        <v>26648</v>
      </c>
      <c r="Z214" s="11"/>
      <c r="AA214" s="9"/>
      <c r="AB214" s="68">
        <f>Y214+AA214</f>
        <v>26648</v>
      </c>
      <c r="AD214" s="3"/>
    </row>
    <row r="215" spans="1:28" ht="12.75">
      <c r="A215" s="10"/>
      <c r="B215" s="11"/>
      <c r="C215" s="11"/>
      <c r="D215" s="46"/>
      <c r="E215" s="55">
        <f t="shared" si="70"/>
        <v>0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63"/>
      <c r="Y215" s="58">
        <f t="shared" si="74"/>
        <v>0</v>
      </c>
      <c r="Z215" s="9"/>
      <c r="AA215" s="9"/>
      <c r="AB215" s="68"/>
    </row>
    <row r="216" spans="1:28" ht="12.75">
      <c r="A216" s="16" t="s">
        <v>5</v>
      </c>
      <c r="B216" s="9"/>
      <c r="C216" s="9"/>
      <c r="D216" s="47"/>
      <c r="E216" s="55">
        <f t="shared" si="70"/>
        <v>0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63"/>
      <c r="Y216" s="58">
        <f t="shared" si="74"/>
        <v>0</v>
      </c>
      <c r="Z216" s="9"/>
      <c r="AA216" s="9"/>
      <c r="AB216" s="68"/>
    </row>
    <row r="217" spans="1:28" ht="12.75">
      <c r="A217" s="10" t="s">
        <v>68</v>
      </c>
      <c r="B217" s="9">
        <f>B9+B15+B21+B27+B33+B39+B45+B51+B57+B63+B69+B75+B81+B87+B93+B99+B105+B111+B117+B123+B129+B135+B141+B147+B153+B159+B165+B171+B177+B191+B205+B211</f>
        <v>5119873</v>
      </c>
      <c r="C217" s="9">
        <f aca="true" t="shared" si="83" ref="C217:AB217">C9+C15+C21+C27+C33+C39+C45+C51+C57+C63+C69+C75+C81+C87+C93+C99+C105+C111+C117+C123+C129+C135+C141+C147+C153+C159+C165+C171+C177+C191+C205+C211</f>
        <v>75609</v>
      </c>
      <c r="D217" s="47">
        <f t="shared" si="83"/>
        <v>5195482</v>
      </c>
      <c r="E217" s="55">
        <f t="shared" si="83"/>
        <v>1012905</v>
      </c>
      <c r="F217" s="9">
        <f t="shared" si="83"/>
        <v>70380</v>
      </c>
      <c r="G217" s="9">
        <f t="shared" si="83"/>
        <v>0</v>
      </c>
      <c r="H217" s="9">
        <f t="shared" si="83"/>
        <v>13023</v>
      </c>
      <c r="I217" s="9">
        <f t="shared" si="83"/>
        <v>7788</v>
      </c>
      <c r="J217" s="9">
        <f t="shared" si="83"/>
        <v>0</v>
      </c>
      <c r="K217" s="9">
        <f t="shared" si="83"/>
        <v>390</v>
      </c>
      <c r="L217" s="9">
        <f t="shared" si="83"/>
        <v>0</v>
      </c>
      <c r="M217" s="9">
        <f t="shared" si="83"/>
        <v>4100</v>
      </c>
      <c r="N217" s="9">
        <f t="shared" si="83"/>
        <v>1640</v>
      </c>
      <c r="O217" s="9">
        <f t="shared" si="83"/>
        <v>0</v>
      </c>
      <c r="P217" s="9">
        <f t="shared" si="83"/>
        <v>802261</v>
      </c>
      <c r="Q217" s="9">
        <f t="shared" si="83"/>
        <v>601417</v>
      </c>
      <c r="R217" s="9">
        <f t="shared" si="83"/>
        <v>143138</v>
      </c>
      <c r="S217" s="9">
        <f t="shared" si="83"/>
        <v>38764</v>
      </c>
      <c r="T217" s="9">
        <f t="shared" si="83"/>
        <v>18942</v>
      </c>
      <c r="U217" s="9">
        <f t="shared" si="83"/>
        <v>1970</v>
      </c>
      <c r="V217" s="9">
        <f t="shared" si="83"/>
        <v>0</v>
      </c>
      <c r="W217" s="9">
        <f t="shared" si="83"/>
        <v>111353</v>
      </c>
      <c r="X217" s="63">
        <f t="shared" si="83"/>
        <v>141743</v>
      </c>
      <c r="Y217" s="59">
        <f t="shared" si="83"/>
        <v>6350130</v>
      </c>
      <c r="Z217" s="9">
        <f t="shared" si="83"/>
        <v>0</v>
      </c>
      <c r="AA217" s="9">
        <f t="shared" si="83"/>
        <v>0</v>
      </c>
      <c r="AB217" s="68">
        <f t="shared" si="83"/>
        <v>6350130</v>
      </c>
    </row>
    <row r="218" spans="1:28" ht="12.75">
      <c r="A218" s="31" t="s">
        <v>70</v>
      </c>
      <c r="B218" s="30">
        <f>B10+B16+B22+B28+B34+B40+B46+B52+B58+B64+B70+B76+B82+B88+B94+B100+B106+B112+B118+B124+B130+B136+B142+B148+B154+B160+B166+B172+B180+B194+B206+B212</f>
        <v>5612223</v>
      </c>
      <c r="C218" s="30">
        <f aca="true" t="shared" si="84" ref="C218:AB218">C10+C16+C22+C28+C34+C40+C46+C52+C58+C64+C70+C76+C82+C88+C94+C100+C106+C112+C118+C124+C130+C136+C142+C148+C154+C160+C166+C172+C180+C194+C206+C212</f>
        <v>82062</v>
      </c>
      <c r="D218" s="52">
        <f t="shared" si="84"/>
        <v>5694285</v>
      </c>
      <c r="E218" s="56">
        <f t="shared" si="84"/>
        <v>1413038</v>
      </c>
      <c r="F218" s="30">
        <f t="shared" si="84"/>
        <v>82573</v>
      </c>
      <c r="G218" s="30">
        <f t="shared" si="84"/>
        <v>1346</v>
      </c>
      <c r="H218" s="30">
        <f t="shared" si="84"/>
        <v>13740</v>
      </c>
      <c r="I218" s="30">
        <f t="shared" si="84"/>
        <v>15524</v>
      </c>
      <c r="J218" s="30">
        <f t="shared" si="84"/>
        <v>1710</v>
      </c>
      <c r="K218" s="30">
        <f t="shared" si="84"/>
        <v>750</v>
      </c>
      <c r="L218" s="30">
        <f t="shared" si="84"/>
        <v>0</v>
      </c>
      <c r="M218" s="30">
        <f t="shared" si="84"/>
        <v>198550</v>
      </c>
      <c r="N218" s="30">
        <f t="shared" si="84"/>
        <v>4570</v>
      </c>
      <c r="O218" s="30">
        <f t="shared" si="84"/>
        <v>0</v>
      </c>
      <c r="P218" s="30">
        <f t="shared" si="84"/>
        <v>852435</v>
      </c>
      <c r="Q218" s="30">
        <f t="shared" si="84"/>
        <v>637976</v>
      </c>
      <c r="R218" s="30">
        <f t="shared" si="84"/>
        <v>156335</v>
      </c>
      <c r="S218" s="30">
        <f t="shared" si="84"/>
        <v>39179</v>
      </c>
      <c r="T218" s="30">
        <f t="shared" si="84"/>
        <v>18945</v>
      </c>
      <c r="U218" s="30">
        <f t="shared" si="84"/>
        <v>16724</v>
      </c>
      <c r="V218" s="30">
        <f t="shared" si="84"/>
        <v>500</v>
      </c>
      <c r="W218" s="30">
        <f t="shared" si="84"/>
        <v>224616</v>
      </c>
      <c r="X218" s="65">
        <f t="shared" si="84"/>
        <v>157217</v>
      </c>
      <c r="Y218" s="60">
        <f t="shared" si="84"/>
        <v>7264540</v>
      </c>
      <c r="Z218" s="30">
        <f t="shared" si="84"/>
        <v>0</v>
      </c>
      <c r="AA218" s="30">
        <f t="shared" si="84"/>
        <v>88906</v>
      </c>
      <c r="AB218" s="70">
        <f t="shared" si="84"/>
        <v>7353446</v>
      </c>
    </row>
    <row r="219" spans="1:28" ht="12.75">
      <c r="A219" s="10"/>
      <c r="B219" s="9">
        <f>B11+B17+B23+B29+B35+B41+B47+B53+B59+B65+B71+B77+B83+B89+B95+B101+B107+B113+B119+B125+B131+B137+B143+B149+B155+B161+B167+B173+B183+B197+B207+B213</f>
        <v>0</v>
      </c>
      <c r="C219" s="9">
        <f aca="true" t="shared" si="85" ref="C219:AB219">C11+C17+C23+C29+C35+C41+C47+C53+C59+C65+C71+C77+C83+C89+C95+C101+C107+C113+C119+C125+C131+C137+C143+C149+C155+C161+C167+C173+C183+C197+C207+C213</f>
        <v>0</v>
      </c>
      <c r="D219" s="47">
        <f t="shared" si="85"/>
        <v>0</v>
      </c>
      <c r="E219" s="55">
        <f t="shared" si="85"/>
        <v>0</v>
      </c>
      <c r="F219" s="9">
        <f t="shared" si="85"/>
        <v>0</v>
      </c>
      <c r="G219" s="9">
        <f t="shared" si="85"/>
        <v>0</v>
      </c>
      <c r="H219" s="9">
        <f t="shared" si="85"/>
        <v>0</v>
      </c>
      <c r="I219" s="9">
        <f t="shared" si="85"/>
        <v>0</v>
      </c>
      <c r="J219" s="9">
        <f t="shared" si="85"/>
        <v>0</v>
      </c>
      <c r="K219" s="9">
        <f t="shared" si="85"/>
        <v>0</v>
      </c>
      <c r="L219" s="9">
        <f t="shared" si="85"/>
        <v>0</v>
      </c>
      <c r="M219" s="9">
        <f t="shared" si="85"/>
        <v>0</v>
      </c>
      <c r="N219" s="9">
        <f t="shared" si="85"/>
        <v>0</v>
      </c>
      <c r="O219" s="9">
        <f t="shared" si="85"/>
        <v>0</v>
      </c>
      <c r="P219" s="9">
        <f t="shared" si="85"/>
        <v>0</v>
      </c>
      <c r="Q219" s="9">
        <f t="shared" si="85"/>
        <v>0</v>
      </c>
      <c r="R219" s="9">
        <f t="shared" si="85"/>
        <v>0</v>
      </c>
      <c r="S219" s="9">
        <f t="shared" si="85"/>
        <v>0</v>
      </c>
      <c r="T219" s="9">
        <f t="shared" si="85"/>
        <v>0</v>
      </c>
      <c r="U219" s="9">
        <f t="shared" si="85"/>
        <v>0</v>
      </c>
      <c r="V219" s="9">
        <f t="shared" si="85"/>
        <v>0</v>
      </c>
      <c r="W219" s="9">
        <f t="shared" si="85"/>
        <v>0</v>
      </c>
      <c r="X219" s="63">
        <f t="shared" si="85"/>
        <v>0</v>
      </c>
      <c r="Y219" s="59">
        <f t="shared" si="85"/>
        <v>0</v>
      </c>
      <c r="Z219" s="9">
        <f t="shared" si="85"/>
        <v>0</v>
      </c>
      <c r="AA219" s="9">
        <f t="shared" si="85"/>
        <v>0</v>
      </c>
      <c r="AB219" s="68">
        <f t="shared" si="85"/>
        <v>0</v>
      </c>
    </row>
    <row r="220" spans="1:29" ht="12.75">
      <c r="A220" s="31" t="s">
        <v>4</v>
      </c>
      <c r="B220" s="32">
        <f>+B12+B18+B24+B30+B36+B42+B48+B54+B60+B66+B72+B78+B84+B90+B96+B102+B108+B114+B120+B126+B132+B138+B144+B150+B156+B162+B168+B174+B186+B200+B208+B214</f>
        <v>5671850</v>
      </c>
      <c r="C220" s="32">
        <f>+C12+C18+C24+C30+C36+C42+C48+C54+C60+C66+C72+C78+C84+C90+C96+C102+C108+C114+C120+C126+C132+C138+C144+C150+C156+C162+C168+C174+C186+C200+C208+C214</f>
        <v>82912</v>
      </c>
      <c r="D220" s="52">
        <f aca="true" t="shared" si="86" ref="D220:AB220">+D12+D18+D24+D30+D36+D42+D48+D54+D60+D66+D72+D78+D84+D90+D96+D102+D108+D114+D120+D126+D132+D138+D144+D150+D156+D162+D168+D174+D186+D200+D208+D214</f>
        <v>5754762</v>
      </c>
      <c r="E220" s="56">
        <f t="shared" si="86"/>
        <v>1025511</v>
      </c>
      <c r="F220" s="32">
        <f t="shared" si="86"/>
        <v>82573</v>
      </c>
      <c r="G220" s="32">
        <f t="shared" si="86"/>
        <v>0</v>
      </c>
      <c r="H220" s="32">
        <f t="shared" si="86"/>
        <v>13740</v>
      </c>
      <c r="I220" s="32">
        <f t="shared" si="86"/>
        <v>10139</v>
      </c>
      <c r="J220" s="32">
        <f t="shared" si="86"/>
        <v>0</v>
      </c>
      <c r="K220" s="32">
        <f t="shared" si="86"/>
        <v>750</v>
      </c>
      <c r="L220" s="32">
        <f t="shared" si="86"/>
        <v>0</v>
      </c>
      <c r="M220" s="32">
        <f t="shared" si="86"/>
        <v>4100</v>
      </c>
      <c r="N220" s="32">
        <f t="shared" si="86"/>
        <v>4570</v>
      </c>
      <c r="O220" s="32">
        <f t="shared" si="86"/>
        <v>0</v>
      </c>
      <c r="P220" s="32">
        <f t="shared" si="86"/>
        <v>802563</v>
      </c>
      <c r="Q220" s="32">
        <f t="shared" si="86"/>
        <v>601649</v>
      </c>
      <c r="R220" s="32">
        <f t="shared" si="86"/>
        <v>143138</v>
      </c>
      <c r="S220" s="32">
        <f t="shared" si="86"/>
        <v>38764</v>
      </c>
      <c r="T220" s="32">
        <f t="shared" si="86"/>
        <v>19012</v>
      </c>
      <c r="U220" s="32">
        <f t="shared" si="86"/>
        <v>1970</v>
      </c>
      <c r="V220" s="32">
        <f t="shared" si="86"/>
        <v>0</v>
      </c>
      <c r="W220" s="32">
        <f t="shared" si="86"/>
        <v>105106</v>
      </c>
      <c r="X220" s="65">
        <f t="shared" si="86"/>
        <v>127217</v>
      </c>
      <c r="Y220" s="60">
        <f>+Y12+Y18+Y24+Y30+Y36+Y42+Y48+Y54+Y60+Y66+Y72+Y78+Y84+Y90+Y96+Y102+Y108+Y114+Y120+Y126+Y132+Y138+Y144+Y150+Y156+Y162+Y168+Y174+Y186+Y200+Y208+Y214</f>
        <v>6907490</v>
      </c>
      <c r="Z220" s="32">
        <f t="shared" si="86"/>
        <v>0</v>
      </c>
      <c r="AA220" s="32">
        <f t="shared" si="86"/>
        <v>0</v>
      </c>
      <c r="AB220" s="70">
        <f t="shared" si="86"/>
        <v>6907490</v>
      </c>
      <c r="AC220" s="32">
        <f>D220+E220+X220+AA220</f>
        <v>6907490</v>
      </c>
    </row>
  </sheetData>
  <sheetProtection/>
  <mergeCells count="19">
    <mergeCell ref="B5:B6"/>
    <mergeCell ref="U5:U6"/>
    <mergeCell ref="AB5:AB6"/>
    <mergeCell ref="AA5:AA6"/>
    <mergeCell ref="Y5:Y6"/>
    <mergeCell ref="W5:W6"/>
    <mergeCell ref="V5:V6"/>
    <mergeCell ref="X5:X6"/>
    <mergeCell ref="Z5:Z6"/>
    <mergeCell ref="A176:C176"/>
    <mergeCell ref="D5:D6"/>
    <mergeCell ref="G1:L1"/>
    <mergeCell ref="A5:A6"/>
    <mergeCell ref="C5:C6"/>
    <mergeCell ref="E5:E6"/>
    <mergeCell ref="F5:O5"/>
    <mergeCell ref="B2:U2"/>
    <mergeCell ref="Q5:T5"/>
    <mergeCell ref="P5:P6"/>
  </mergeCells>
  <conditionalFormatting sqref="B209:D209 A176 A217:B217 E9:E216 A177:D208 A210:D216 A8:D175 A218:AB220 F8:AB216">
    <cfRule type="cellIs" priority="12" dxfId="4" operator="equal" stopIfTrue="1">
      <formula>0</formula>
    </cfRule>
  </conditionalFormatting>
  <conditionalFormatting sqref="E8">
    <cfRule type="cellIs" priority="10" dxfId="4" operator="equal" stopIfTrue="1">
      <formula>0</formula>
    </cfRule>
  </conditionalFormatting>
  <conditionalFormatting sqref="AC220">
    <cfRule type="cellIs" priority="8" dxfId="4" operator="equal" stopIfTrue="1">
      <formula>0</formula>
    </cfRule>
  </conditionalFormatting>
  <conditionalFormatting sqref="C217:AB217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Reda Dudienė</cp:lastModifiedBy>
  <cp:lastPrinted>2020-01-24T08:37:23Z</cp:lastPrinted>
  <dcterms:created xsi:type="dcterms:W3CDTF">2009-10-21T07:37:17Z</dcterms:created>
  <dcterms:modified xsi:type="dcterms:W3CDTF">2020-01-27T11:12:02Z</dcterms:modified>
  <cp:category/>
  <cp:version/>
  <cp:contentType/>
  <cp:contentStatus/>
</cp:coreProperties>
</file>